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fileSharing userName="user" reservationPassword="CA9C"/>
  <workbookPr codeName="ThisWorkbook"/>
  <bookViews>
    <workbookView xWindow="10230" yWindow="-15" windowWidth="10275" windowHeight="8175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2" i="4" l="1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L24" i="4"/>
  <c r="L25" i="4"/>
  <c r="M25" i="4" s="1"/>
  <c r="L26" i="4"/>
  <c r="L27" i="4"/>
  <c r="L28" i="4"/>
  <c r="M28" i="4" s="1"/>
  <c r="L29" i="4"/>
  <c r="M29" i="4" s="1"/>
  <c r="M10" i="4"/>
  <c r="M23" i="4"/>
  <c r="M24" i="4"/>
  <c r="M26" i="4"/>
  <c r="M27" i="4"/>
  <c r="AA14" i="1"/>
  <c r="F12" i="3"/>
  <c r="F11" i="3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T82" i="10" s="1"/>
  <c r="O84" i="10"/>
  <c r="P83" i="10"/>
  <c r="O83" i="10"/>
  <c r="V82" i="10"/>
  <c r="U82" i="10"/>
  <c r="A82" i="10"/>
  <c r="P94" i="9"/>
  <c r="T90" i="9" s="1"/>
  <c r="O94" i="9"/>
  <c r="R90" i="9" s="1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Z14" i="1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B10" i="3" l="1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T50" i="9" s="1"/>
  <c r="O53" i="9"/>
  <c r="P52" i="9"/>
  <c r="O52" i="9"/>
  <c r="S50" i="9" s="1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Q50" i="9" l="1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<sst xmlns="http://schemas.openxmlformats.org/spreadsheetml/2006/main" count="618" uniqueCount="130">
  <si>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</si>
  <si>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</si>
  <si>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</si>
  <si>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</si>
  <si>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</si>
  <si>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</si>
  <si>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</si>
  <si>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</si>
  <si>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</si>
  <si>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</si>
  <si>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</si>
  <si>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</si>
  <si>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</si>
  <si>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</si>
  <si>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</si>
  <si>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</si>
  <si>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</si>
  <si>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</si>
  <si>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</si>
  <si>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</si>
  <si>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</si>
  <si>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</si>
  <si>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</si>
  <si>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</si>
  <si>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</si>
  <si>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</si>
  <si>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</si>
  <si>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</si>
  <si>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</si>
  <si>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SQUASHBEREK</t>
  </si>
  <si>
    <t>CITY SQUASH CLUB SE</t>
  </si>
  <si>
    <t>BORDROGI BAU-SZEGED SQUASH SE I.</t>
  </si>
  <si>
    <t>CSÉ-STAR TEAM I.</t>
  </si>
  <si>
    <t>ANICO KÉSZHÁZAK EGRI SQUASH SE</t>
  </si>
  <si>
    <t>BUDAÖRSI LABDA EGYLET I.</t>
  </si>
  <si>
    <t>TOP CHALLENGE I.</t>
  </si>
  <si>
    <t>GEKKO</t>
  </si>
  <si>
    <t>SQUASHBEREK|CITY SQUASH CLUB SE</t>
  </si>
  <si>
    <t>CITY SQUASH CLUB SE|SQUASHBEREK</t>
  </si>
  <si>
    <t>SQUASHBEREK|BORDROGI BAU-SZEGED SQUASH SE I.</t>
  </si>
  <si>
    <t>BORDROGI BAU-SZEGED SQUASH SE I.|SQUASHBEREK</t>
  </si>
  <si>
    <t>SQUASHBEREK|CSÉ-STAR TEAM I.</t>
  </si>
  <si>
    <t>CSÉ-STAR TEAM I.|SQUASHBEREK</t>
  </si>
  <si>
    <t>SQUASHBEREK|ANICO KÉSZHÁZAK EGRI SQUASH SE</t>
  </si>
  <si>
    <t>ANICO KÉSZHÁZAK EGRI SQUASH SE|SQUASHBEREK</t>
  </si>
  <si>
    <t>SQUASHBEREK|BUDAÖRSI LABDA EGYLET I.</t>
  </si>
  <si>
    <t>BUDAÖRSI LABDA EGYLET I.|SQUASHBEREK</t>
  </si>
  <si>
    <t>SQUASHBEREK|TOP CHALLENGE I.</t>
  </si>
  <si>
    <t>TOP CHALLENGE I.|SQUASHBEREK</t>
  </si>
  <si>
    <t>SQUASHBEREK|GEKKO</t>
  </si>
  <si>
    <t>GEKKO|SQUASHBEREK</t>
  </si>
  <si>
    <t>CITY SQUASH CLUB SE|BORDROGI BAU-SZEGED SQUASH SE I.</t>
  </si>
  <si>
    <t>BORDROGI BAU-SZEGED SQUASH SE I.|CITY SQUASH CLUB SE</t>
  </si>
  <si>
    <t>CITY SQUASH CLUB SE|CSÉ-STAR TEAM I.</t>
  </si>
  <si>
    <t>CSÉ-STAR TEAM I.|CITY SQUASH CLUB SE</t>
  </si>
  <si>
    <t>CITY SQUASH CLUB SE|ANICO KÉSZHÁZAK EGRI SQUASH SE</t>
  </si>
  <si>
    <t>ANICO KÉSZHÁZAK EGRI SQUASH SE|CITY SQUASH CLUB SE</t>
  </si>
  <si>
    <t>CITY SQUASH CLUB SE|BUDAÖRSI LABDA EGYLET I.</t>
  </si>
  <si>
    <t>BUDAÖRSI LABDA EGYLET I.|CITY SQUASH CLUB SE</t>
  </si>
  <si>
    <t>CITY SQUASH CLUB SE|TOP CHALLENGE I.</t>
  </si>
  <si>
    <t>TOP CHALLENGE I.|CITY SQUASH CLUB SE</t>
  </si>
  <si>
    <t>CITY SQUASH CLUB SE|GEKKO</t>
  </si>
  <si>
    <t>GEKKO|CITY SQUASH CLUB SE</t>
  </si>
  <si>
    <t>BORDROGI BAU-SZEGED SQUASH SE I.|CSÉ-STAR TEAM I.</t>
  </si>
  <si>
    <t>CSÉ-STAR TEAM I.|BORDROGI BAU-SZEGED SQUASH SE I.</t>
  </si>
  <si>
    <t>BORDROGI BAU-SZEGED SQUASH SE I.|ANICO KÉSZHÁZAK EGRI SQUASH SE</t>
  </si>
  <si>
    <t>ANICO KÉSZHÁZAK EGRI SQUASH SE|BORDROGI BAU-SZEGED SQUASH SE I.</t>
  </si>
  <si>
    <t>BORDROGI BAU-SZEGED SQUASH SE I.|BUDAÖRSI LABDA EGYLET I.</t>
  </si>
  <si>
    <t>BUDAÖRSI LABDA EGYLET I.|BORDROGI BAU-SZEGED SQUASH SE I.</t>
  </si>
  <si>
    <t>BORDROGI BAU-SZEGED SQUASH SE I.|TOP CHALLENGE I.</t>
  </si>
  <si>
    <t>TOP CHALLENGE I.|BORDROGI BAU-SZEGED SQUASH SE I.</t>
  </si>
  <si>
    <t>BORDROGI BAU-SZEGED SQUASH SE I.|GEKKO</t>
  </si>
  <si>
    <t>GEKKO|BORDROGI BAU-SZEGED SQUASH SE I.</t>
  </si>
  <si>
    <t>CSÉ-STAR TEAM I.|ANICO KÉSZHÁZAK EGRI SQUASH SE</t>
  </si>
  <si>
    <t>ANICO KÉSZHÁZAK EGRI SQUASH SE|CSÉ-STAR TEAM I.</t>
  </si>
  <si>
    <t>CSÉ-STAR TEAM I.|BUDAÖRSI LABDA EGYLET I.</t>
  </si>
  <si>
    <t>BUDAÖRSI LABDA EGYLET I.|CSÉ-STAR TEAM I.</t>
  </si>
  <si>
    <t>CSÉ-STAR TEAM I.|TOP CHALLENGE I.</t>
  </si>
  <si>
    <t>TOP CHALLENGE I.|CSÉ-STAR TEAM I.</t>
  </si>
  <si>
    <t>CSÉ-STAR TEAM I.|GEKKO</t>
  </si>
  <si>
    <t>GEKKO|CSÉ-STAR TEAM I.</t>
  </si>
  <si>
    <t>ANICO KÉSZHÁZAK EGRI SQUASH SE|BUDAÖRSI LABDA EGYLET I.</t>
  </si>
  <si>
    <t>BUDAÖRSI LABDA EGYLET I.|ANICO KÉSZHÁZAK EGRI SQUASH SE</t>
  </si>
  <si>
    <t>ANICO KÉSZHÁZAK EGRI SQUASH SE|TOP CHALLENGE I.</t>
  </si>
  <si>
    <t>TOP CHALLENGE I.|ANICO KÉSZHÁZAK EGRI SQUASH SE</t>
  </si>
  <si>
    <t>ANICO KÉSZHÁZAK EGRI SQUASH SE|GEKKO</t>
  </si>
  <si>
    <t>GEKKO|ANICO KÉSZHÁZAK EGRI SQUASH SE</t>
  </si>
  <si>
    <t>BUDAÖRSI LABDA EGYLET I.|TOP CHALLENGE I.</t>
  </si>
  <si>
    <t>TOP CHALLENGE I.|BUDAÖRSI LABDA EGYLET I.</t>
  </si>
  <si>
    <t>BUDAÖRSI LABDA EGYLET I.|GEKKO</t>
  </si>
  <si>
    <t>GEKKO|BUDAÖRSI LABDA EGYLET I.</t>
  </si>
  <si>
    <t>TOP CHALLENGE I.|GEKKO</t>
  </si>
  <si>
    <t>GEKKO|TOP CHALLENGE I.</t>
  </si>
  <si>
    <t>Squashberek</t>
  </si>
  <si>
    <t>Muth Lóránt</t>
  </si>
  <si>
    <t>Szabolcsi Márk</t>
  </si>
  <si>
    <t>Bíró Balázs</t>
  </si>
  <si>
    <t>Krajcsák Márk</t>
  </si>
  <si>
    <t>Szebeni Péter</t>
  </si>
  <si>
    <t>Nagy Simon</t>
  </si>
  <si>
    <t>Kamocsai Bendegúz</t>
  </si>
  <si>
    <t>Kispéter Ádám</t>
  </si>
  <si>
    <t>Zséger Ádám</t>
  </si>
  <si>
    <t>Tóth Miklós</t>
  </si>
  <si>
    <t>Rajnai Gábor</t>
  </si>
  <si>
    <t>Püski Lénárd</t>
  </si>
  <si>
    <t>Valló Zoltán</t>
  </si>
  <si>
    <t>Szabóky Márton</t>
  </si>
  <si>
    <t>Bary Gábor</t>
  </si>
  <si>
    <t>Rózsa Barnabás</t>
  </si>
  <si>
    <t>Kohlrusz Balázs</t>
  </si>
  <si>
    <t>Győrfi Gyula</t>
  </si>
  <si>
    <t>Sárkány Lázsló</t>
  </si>
  <si>
    <t>Rácz Gergely</t>
  </si>
  <si>
    <t>Jeszenszky Zoltán</t>
  </si>
  <si>
    <t>Venczel Miklós</t>
  </si>
  <si>
    <t>Komlódi Regő</t>
  </si>
  <si>
    <t>Rácz László</t>
  </si>
  <si>
    <t>Kiss-Máté Csenge</t>
  </si>
  <si>
    <t>-</t>
  </si>
  <si>
    <t>Vida Benjámin</t>
  </si>
  <si>
    <t>Ahmed Kamel</t>
  </si>
  <si>
    <t>Pelczynski Adam</t>
  </si>
  <si>
    <t>Füredi Péter</t>
  </si>
  <si>
    <t>Juhász Áron</t>
  </si>
  <si>
    <t>Szécsi Dávid</t>
  </si>
  <si>
    <t>Lóczy Attila</t>
  </si>
  <si>
    <t>Németh Balázs</t>
  </si>
  <si>
    <t>Kárai Botond</t>
  </si>
  <si>
    <t>Kirner Richárd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</si>
</sst>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3" fillId="0" borderId="64" xfId="0" applyFont="1" applyBorder="1" applyAlignment="1">
      <alignment horizontal="center" vertical="center"/>
    </xf>
    <xf numFmtId="0" fontId="0" fillId="2" borderId="65" xfId="0" applyFill="1" applyBorder="1"/>
    <xf numFmtId="0" fontId="0" fillId="2" borderId="66" xfId="0" applyFill="1" applyBorder="1"/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</cellXfs>
  <cellStyles count="1">
    <cellStyle name="Normál" xfId="0" builtinId="0"/>
  </cellStyles>
  <dxfs count="21"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29" tableType="queryTable" totalsRowShown="0">
  <autoFilter ref="A1:M29"/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7"/>
    <tableColumn id="20" uniqueName="20" name="Forduló" queryTableFieldId="22" dataDxfId="16"/>
    <tableColumn id="9" uniqueName="9" name="Csapatok eredmény" queryTableFieldId="33" dataDxfId="15"/>
    <tableColumn id="8" uniqueName="8" name="Csapatok.2 eredmény" queryTableFieldId="32" dataDxfId="14"/>
    <tableColumn id="10" uniqueName="10" name="Csapat.1 szettek" queryTableFieldId="10" dataDxfId="13"/>
    <tableColumn id="11" uniqueName="11" name="Csapat.2 szettek" queryTableFieldId="11" dataDxfId="12"/>
    <tableColumn id="12" uniqueName="12" name="Csapat.1 pontok" queryTableFieldId="12" dataDxfId="11"/>
    <tableColumn id="13" uniqueName="13" name="Csapat.2 pontok" queryTableFieldId="13" dataDxfId="10"/>
    <tableColumn id="6" uniqueName="6" name="Csapatok megszerzett pont" queryTableFieldId="30" dataDxfId="9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8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7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6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5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4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3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workbookViewId="0">
      <selection activeCell="M16" sqref="M16"/>
    </sheetView>
  </sheetViews>
  <sheetFormatPr defaultRowHeight="15" x14ac:dyDescent="0.25"/>
  <cols>
    <col min="1" max="1" width="14.42578125" customWidth="1"/>
    <col min="2" max="17" width="6.85546875" customWidth="1"/>
    <col min="18" max="21" width="6.85546875" hidden="1" customWidth="1"/>
    <col min="22" max="22" width="4.7109375" customWidth="1"/>
    <col min="23" max="23" width="3.42578125" customWidth="1"/>
    <col min="24" max="24" width="4" customWidth="1"/>
    <col min="26" max="26" width="26.7109375" bestFit="1" customWidth="1"/>
  </cols>
  <sheetData>
    <row r="1" spans="1:27" ht="15.75" thickBot="1" x14ac:dyDescent="0.3"/>
    <row r="2" spans="1:27" ht="32.25" customHeight="1" x14ac:dyDescent="0.25">
      <c r="A2" s="35"/>
      <c r="B2" s="78" t="str">
        <f>IF(cs_1="","",cs_1)</f>
        <v>SQUASHBEREK</v>
      </c>
      <c r="C2" s="79"/>
      <c r="D2" s="76" t="str">
        <f>IF(cs_2="","",cs_2)</f>
        <v>CITY SQUASH CLUB SE</v>
      </c>
      <c r="E2" s="80"/>
      <c r="F2" s="76" t="str">
        <f>IF(cs_3="","",cs_3)</f>
        <v>BORDROGI BAU-SZEGED SQUASH SE I.</v>
      </c>
      <c r="G2" s="80"/>
      <c r="H2" s="76" t="str">
        <f>IF(cs_4="","",cs_4)</f>
        <v>CSÉ-STAR TEAM I.</v>
      </c>
      <c r="I2" s="80"/>
      <c r="J2" s="76" t="str">
        <f>IF(cs_5="","",cs_5)</f>
        <v>ANICO KÉSZHÁZAK EGRI SQUASH SE</v>
      </c>
      <c r="K2" s="80"/>
      <c r="L2" s="76" t="str">
        <f>IF(cs_6="","",cs_6)</f>
        <v>BUDAÖRSI LABDA EGYLET I.</v>
      </c>
      <c r="M2" s="80"/>
      <c r="N2" s="76" t="str">
        <f>IF(cs_7="","",cs_7)</f>
        <v>TOP CHALLENGE I.</v>
      </c>
      <c r="O2" s="81"/>
      <c r="P2" s="91" t="str">
        <f>IF(cs_8="","",cs_8)</f>
        <v>GEKKO</v>
      </c>
      <c r="Q2" s="92"/>
      <c r="R2" s="76" t="str">
        <f>IF(cs_9="","",cs_9)</f>
        <v/>
      </c>
      <c r="S2" s="80"/>
      <c r="T2" s="76" t="str">
        <f>IF(cs_10="","",cs_10)</f>
        <v/>
      </c>
      <c r="U2" s="77"/>
    </row>
    <row r="3" spans="1:27" ht="17.25" customHeight="1" x14ac:dyDescent="0.25">
      <c r="A3" s="74" t="str">
        <f>IF(cs_1="","",cs_1)</f>
        <v>SQUASHBEREK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/>
      </c>
      <c r="E3" s="4" t="str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/>
      </c>
      <c r="F3" s="18" t="str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/>
      </c>
      <c r="G3" s="19" t="str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/>
      </c>
      <c r="H3" s="3" t="str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/>
      </c>
      <c r="I3" s="4" t="str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/>
      </c>
      <c r="J3" s="18" t="str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/>
      </c>
      <c r="K3" s="19" t="str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/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2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2</v>
      </c>
      <c r="N3" s="18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4</v>
      </c>
      <c r="O3" s="19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0</v>
      </c>
      <c r="P3" s="3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4</v>
      </c>
      <c r="Q3" s="4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0</v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71"/>
      <c r="B4" s="12"/>
      <c r="C4" s="16"/>
      <c r="D4" s="20" t="str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/>
      </c>
      <c r="E4" s="21" t="str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/>
      </c>
      <c r="F4" s="22" t="str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/>
      </c>
      <c r="G4" s="23" t="str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/>
      </c>
      <c r="H4" s="20" t="str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/>
      </c>
      <c r="I4" s="21" t="str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/>
      </c>
      <c r="J4" s="20" t="str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/>
      </c>
      <c r="K4" s="21" t="str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/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7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8</v>
      </c>
      <c r="N4" s="22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12</v>
      </c>
      <c r="O4" s="23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1</v>
      </c>
      <c r="P4" s="22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12</v>
      </c>
      <c r="Q4" s="88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0</v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70" t="str">
        <f>IF(cs_2="","",cs_2)</f>
        <v>CITY SQUASH CLUB SE</v>
      </c>
      <c r="B5" s="3" t="str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/>
      </c>
      <c r="C5" s="4" t="str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/>
      </c>
      <c r="D5" s="2"/>
      <c r="E5" s="2"/>
      <c r="F5" s="18" t="str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/>
      </c>
      <c r="G5" s="19" t="str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/>
      </c>
      <c r="H5" s="3" t="str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/>
      </c>
      <c r="I5" s="4" t="str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/>
      </c>
      <c r="J5" s="1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3</v>
      </c>
      <c r="K5" s="1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1</v>
      </c>
      <c r="L5" s="3" t="str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/>
      </c>
      <c r="M5" s="4" t="str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/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4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0</v>
      </c>
      <c r="P5" s="3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4</v>
      </c>
      <c r="Q5" s="4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0</v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tr">
        <f>IF(Y5="","",_xlfn.XLOOKUP(LARGE(Csapatok!F:F,1),Csapatok!F:F,Csapatok!A:A))</f>
        <v>CITY SQUASH CLUB SE</v>
      </c>
      <c r="AA5" s="17">
        <f>IF(Y5="","",IF(Y5="","",_xlfn.XLOOKUP(Z5,Csapatok!A:A,Csapatok!B:B))-100)</f>
        <v>9</v>
      </c>
    </row>
    <row r="6" spans="1:27" ht="17.25" customHeight="1" x14ac:dyDescent="0.25">
      <c r="A6" s="75"/>
      <c r="B6" s="22" t="str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/>
      </c>
      <c r="C6" s="21" t="str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/>
      </c>
      <c r="D6" s="2"/>
      <c r="E6" s="2"/>
      <c r="F6" s="22" t="str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/>
      </c>
      <c r="G6" s="23" t="str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/>
      </c>
      <c r="H6" s="20" t="str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/>
      </c>
      <c r="I6" s="21" t="str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/>
      </c>
      <c r="J6" s="2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11</v>
      </c>
      <c r="K6" s="2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4</v>
      </c>
      <c r="L6" s="20" t="str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/>
      </c>
      <c r="M6" s="21" t="str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/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12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1</v>
      </c>
      <c r="P6" s="22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12</v>
      </c>
      <c r="Q6" s="88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0</v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tr">
        <f>IF(Y6="","",_xlfn.XLOOKUP(LARGE(Csapatok!F:F,2),Csapatok!F:F,Csapatok!A:A))</f>
        <v>BUDAÖRSI LABDA EGYLET I.</v>
      </c>
      <c r="AA6" s="17">
        <f>IF(Y6="","",IF(Y6="","",_xlfn.XLOOKUP(Z6,Csapatok!A:A,Csapatok!B:B))-100)</f>
        <v>8</v>
      </c>
    </row>
    <row r="7" spans="1:27" ht="17.25" customHeight="1" x14ac:dyDescent="0.25">
      <c r="A7" s="74" t="str">
        <f>IF(cs_3="","",cs_3)</f>
        <v>BORDROGI BAU-SZEGED SQUASH SE I.</v>
      </c>
      <c r="B7" s="3" t="str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/>
      </c>
      <c r="C7" s="4" t="str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/>
      </c>
      <c r="D7" s="3" t="str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/>
      </c>
      <c r="E7" s="4" t="str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/>
      </c>
      <c r="F7" s="2"/>
      <c r="G7" s="2"/>
      <c r="H7" s="3" t="str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/>
      </c>
      <c r="I7" s="4" t="str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/>
      </c>
      <c r="J7" s="1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3</v>
      </c>
      <c r="K7" s="1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1</v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1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3</v>
      </c>
      <c r="N7" s="18" t="str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/>
      </c>
      <c r="O7" s="19" t="str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/>
      </c>
      <c r="P7" s="3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4</v>
      </c>
      <c r="Q7" s="4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0</v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tr">
        <f>IF(Y7="","",_xlfn.XLOOKUP(LARGE(Csapatok!F:F,3),Csapatok!F:F,Csapatok!A:A))</f>
        <v>SQUASHBEREK</v>
      </c>
      <c r="AA7" s="17">
        <f>IF(Y7="","",IF(Y7="","",_xlfn.XLOOKUP(Z7,Csapatok!A:A,Csapatok!B:B))-100)</f>
        <v>7</v>
      </c>
    </row>
    <row r="8" spans="1:27" ht="17.25" customHeight="1" x14ac:dyDescent="0.25">
      <c r="A8" s="75"/>
      <c r="B8" s="20" t="str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/>
      </c>
      <c r="C8" s="21" t="str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/>
      </c>
      <c r="D8" s="20" t="str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/>
      </c>
      <c r="E8" s="21" t="str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/>
      </c>
      <c r="F8" s="2"/>
      <c r="G8" s="2"/>
      <c r="H8" s="20" t="str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/>
      </c>
      <c r="I8" s="21" t="str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/>
      </c>
      <c r="J8" s="2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9</v>
      </c>
      <c r="K8" s="2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4</v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7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9</v>
      </c>
      <c r="N8" s="20" t="str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/>
      </c>
      <c r="O8" s="21" t="str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/>
      </c>
      <c r="P8" s="22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12</v>
      </c>
      <c r="Q8" s="88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0</v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tr">
        <f>IF(Y8="","",_xlfn.XLOOKUP(LARGE(Csapatok!F:F,4),Csapatok!F:F,Csapatok!A:A))</f>
        <v>BORDROGI BAU-SZEGED SQUASH SE I.</v>
      </c>
      <c r="AA8" s="17">
        <f>IF(Y8="","",IF(Y8="","",_xlfn.XLOOKUP(Z8,Csapatok!A:A,Csapatok!B:B))-100)</f>
        <v>6</v>
      </c>
    </row>
    <row r="9" spans="1:27" ht="17.25" customHeight="1" x14ac:dyDescent="0.25">
      <c r="A9" s="74" t="str">
        <f>IF(cs_4="","",cs_4)</f>
        <v>CSÉ-STAR TEAM I.</v>
      </c>
      <c r="B9" s="3" t="str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/>
      </c>
      <c r="C9" s="4" t="str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/>
      </c>
      <c r="D9" s="3" t="str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/>
      </c>
      <c r="E9" s="4" t="str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/>
      </c>
      <c r="F9" s="3" t="str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/>
      </c>
      <c r="G9" s="4" t="str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/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0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4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0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4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3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1</v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tr">
        <f>IF(Y9="","",_xlfn.XLOOKUP(LARGE(Csapatok!F:F,5),Csapatok!F:F,Csapatok!A:A))</f>
        <v>ANICO KÉSZHÁZAK EGRI SQUASH SE</v>
      </c>
      <c r="AA9" s="17">
        <f>IF(Y9="","",IF(Y9="","",_xlfn.XLOOKUP(Z9,Csapatok!A:A,Csapatok!B:B))-100)</f>
        <v>3</v>
      </c>
    </row>
    <row r="10" spans="1:27" ht="17.25" customHeight="1" x14ac:dyDescent="0.25">
      <c r="A10" s="75"/>
      <c r="B10" s="20" t="str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/>
      </c>
      <c r="C10" s="21" t="str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/>
      </c>
      <c r="D10" s="20" t="str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/>
      </c>
      <c r="E10" s="21" t="str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/>
      </c>
      <c r="F10" s="20" t="str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/>
      </c>
      <c r="G10" s="21" t="str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/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3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11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1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11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9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7</v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88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tr">
        <f>IF(Y10="","",_xlfn.XLOOKUP(LARGE(Csapatok!F:F,6),Csapatok!F:F,Csapatok!A:A))</f>
        <v>CSÉ-STAR TEAM I.</v>
      </c>
      <c r="AA10" s="17">
        <f>IF(Y10="","",IF(Y10="","",_xlfn.XLOOKUP(Z10,Csapatok!A:A,Csapatok!B:B))-100)</f>
        <v>3</v>
      </c>
    </row>
    <row r="11" spans="1:27" ht="17.25" customHeight="1" x14ac:dyDescent="0.25">
      <c r="A11" s="74" t="str">
        <f>IF(cs_5="","",cs_5)</f>
        <v>ANICO KÉSZHÁZAK EGRI SQUASH SE</v>
      </c>
      <c r="B11" s="3" t="str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/>
      </c>
      <c r="C11" s="4" t="str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/>
      </c>
      <c r="D11" s="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1</v>
      </c>
      <c r="E11" s="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3</v>
      </c>
      <c r="F11" s="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1</v>
      </c>
      <c r="G11" s="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3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4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0</v>
      </c>
      <c r="J11" s="2"/>
      <c r="K11" s="2"/>
      <c r="L11" s="3" t="str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/>
      </c>
      <c r="M11" s="4" t="str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/>
      </c>
      <c r="N11" s="18" t="str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/>
      </c>
      <c r="O11" s="19" t="str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/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t="str">
        <f>IF(Y11="","",_xlfn.XLOOKUP(LARGE(Csapatok!F:F,7),Csapatok!F:F,Csapatok!A:A))</f>
        <v>TOP CHALLENGE I.</v>
      </c>
      <c r="AA11" s="17">
        <f>IF(Y11="","",IF(Y11="","",_xlfn.XLOOKUP(Z11,Csapatok!A:A,Csapatok!B:B))-100)</f>
        <v>0</v>
      </c>
    </row>
    <row r="12" spans="1:27" ht="17.25" customHeight="1" x14ac:dyDescent="0.25">
      <c r="A12" s="71"/>
      <c r="B12" s="20" t="str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/>
      </c>
      <c r="C12" s="21" t="str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/>
      </c>
      <c r="D12" s="2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4</v>
      </c>
      <c r="E12" s="2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11</v>
      </c>
      <c r="F12" s="22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4</v>
      </c>
      <c r="G12" s="23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9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11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3</v>
      </c>
      <c r="J12" s="12"/>
      <c r="K12" s="2"/>
      <c r="L12" s="22" t="str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/>
      </c>
      <c r="M12" s="23" t="str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/>
      </c>
      <c r="N12" s="20" t="str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/>
      </c>
      <c r="O12" s="21" t="str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/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>
        <f>IF(cs_8&lt;&gt;"",8,"")</f>
        <v>8</v>
      </c>
      <c r="Z12" t="str">
        <f>IF(Y12="","",_xlfn.XLOOKUP(LARGE(Csapatok!F:F,8),Csapatok!F:F,Csapatok!A:A))</f>
        <v>GEKKO</v>
      </c>
      <c r="AA12" s="17">
        <f>IF(Y12="","",IF(Y12="","",_xlfn.XLOOKUP(Z12,Csapatok!A:A,Csapatok!B:B))-100)</f>
        <v>0</v>
      </c>
    </row>
    <row r="13" spans="1:27" ht="17.25" customHeight="1" x14ac:dyDescent="0.25">
      <c r="A13" s="70" t="str">
        <f>IF(cs_6="","",cs_6)</f>
        <v>BUDAÖRSI LABDA EGYLET I.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2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2</v>
      </c>
      <c r="D13" s="8" t="str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/>
      </c>
      <c r="E13" s="4" t="str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/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3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1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4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0</v>
      </c>
      <c r="J13" s="3" t="str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/>
      </c>
      <c r="K13" s="4" t="str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/>
      </c>
      <c r="L13" s="2"/>
      <c r="M13" s="2"/>
      <c r="N13" s="18" t="str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/>
      </c>
      <c r="O13" s="19" t="str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/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Z13" t="str">
        <f>IF(Y13="","",_xlfn.XLOOKUP(LARGE(Csapatok!F:F,9),Csapatok!F:F,Csapatok!A:A))</f>
        <v/>
      </c>
      <c r="AA13" s="17" t="str">
        <f>IF(Y13="","",IF(Y13="","",_xlfn.XLOOKUP(Z13,Csapatok!A:A,Csapatok!B:B))-100)</f>
        <v/>
      </c>
    </row>
    <row r="14" spans="1:27" ht="17.25" customHeight="1" x14ac:dyDescent="0.25">
      <c r="A14" s="75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8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7</v>
      </c>
      <c r="D14" s="28" t="str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/>
      </c>
      <c r="E14" s="21" t="str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/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9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7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11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1</v>
      </c>
      <c r="J14" s="20" t="str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/>
      </c>
      <c r="K14" s="29" t="str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/>
      </c>
      <c r="L14" s="12"/>
      <c r="M14" s="2"/>
      <c r="N14" s="20" t="str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/>
      </c>
      <c r="O14" s="21" t="str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/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74" t="str">
        <f>IF(cs_7="","",cs_7)</f>
        <v>TOP CHALLENGE I.</v>
      </c>
      <c r="B15" s="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0</v>
      </c>
      <c r="C15" s="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4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0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4</v>
      </c>
      <c r="F15" s="3" t="str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/>
      </c>
      <c r="G15" s="4" t="str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/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1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3</v>
      </c>
      <c r="J15" s="3" t="str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/>
      </c>
      <c r="K15" s="4" t="str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/>
      </c>
      <c r="L15" s="3" t="str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/>
      </c>
      <c r="M15" s="4" t="str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/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75"/>
      <c r="B16" s="22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1</v>
      </c>
      <c r="C16" s="23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12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1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12</v>
      </c>
      <c r="F16" s="20" t="str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/>
      </c>
      <c r="G16" s="21" t="str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/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7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9</v>
      </c>
      <c r="J16" s="22" t="str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/>
      </c>
      <c r="K16" s="23" t="str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/>
      </c>
      <c r="L16" s="22" t="str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/>
      </c>
      <c r="M16" s="27" t="str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/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88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customHeight="1" x14ac:dyDescent="0.25">
      <c r="A17" s="74" t="str">
        <f>IF(cs_8="","",cs_8)</f>
        <v>GEKKO</v>
      </c>
      <c r="B17" s="3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0</v>
      </c>
      <c r="C17" s="4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4</v>
      </c>
      <c r="D17" s="3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0</v>
      </c>
      <c r="E17" s="4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4</v>
      </c>
      <c r="F17" s="3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0</v>
      </c>
      <c r="G17" s="4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4</v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89"/>
      <c r="Q17" s="90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customHeight="1" x14ac:dyDescent="0.25">
      <c r="A18" s="71"/>
      <c r="B18" s="20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0</v>
      </c>
      <c r="C18" s="21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12</v>
      </c>
      <c r="D18" s="20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0</v>
      </c>
      <c r="E18" s="21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12</v>
      </c>
      <c r="F18" s="20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0</v>
      </c>
      <c r="G18" s="21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12</v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16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hidden="1" customHeight="1" x14ac:dyDescent="0.25">
      <c r="A19" s="70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hidden="1" customHeight="1" x14ac:dyDescent="0.25">
      <c r="A20" s="71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hidden="1" customHeight="1" x14ac:dyDescent="0.25">
      <c r="A21" s="72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hidden="1" customHeight="1" thickBot="1" x14ac:dyDescent="0.3">
      <c r="A22" s="73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20" priority="2">
      <formula>IF(AND(B5=2,B6=""),1,0)</formula>
    </cfRule>
  </conditionalFormatting>
  <conditionalFormatting sqref="D4:U4">
    <cfRule type="expression" dxfId="19" priority="4">
      <formula>IF(AND(D3=2,D4=""),1,0)</formula>
    </cfRule>
  </conditionalFormatting>
  <conditionalFormatting sqref="F6:U6 H8:U8 J10:U10 L12:U12 N14:U14 P16:U16 R18:U18 T20:U20">
    <cfRule type="expression" dxfId="18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6:M16 E14:K14 E13:K13 E19:Q22 L13:M13 L14:M14 N15:O16 P17:Q18 J11:K12 H9:I10 F7:G8 E6 E5 R19:S20 T21:U22 E3:U4 R21:S22 T19:U20 F5:U5 F6:U6 H7:U8 J9:U10 L11:U12 R17:U18 P15:U16 N14:U14 N13:U13 E15:L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29"/>
  <sheetViews>
    <sheetView topLeftCell="C1" workbookViewId="0">
      <selection activeCell="A6" sqref="A6"/>
    </sheetView>
  </sheetViews>
  <sheetFormatPr defaultRowHeight="15" x14ac:dyDescent="0.25"/>
  <cols>
    <col min="1" max="2" width="67.5703125" hidden="1" customWidth="1"/>
    <col min="3" max="4" width="34.42578125" bestFit="1" customWidth="1"/>
    <col min="5" max="5" width="12.42578125" bestFit="1" customWidth="1"/>
    <col min="6" max="6" width="14.7109375" bestFit="1" customWidth="1"/>
    <col min="7" max="7" width="15.140625" bestFit="1" customWidth="1"/>
    <col min="8" max="11" width="13" bestFit="1" customWidth="1"/>
    <col min="12" max="12" width="25.140625" bestFit="1" customWidth="1"/>
    <col min="13" max="13" width="26.8554687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37</v>
      </c>
      <c r="B2" t="s">
        <v>38</v>
      </c>
      <c r="C2" t="s">
        <v>29</v>
      </c>
      <c r="D2" s="1" t="s">
        <v>30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x14ac:dyDescent="0.25">
      <c r="A3" t="s">
        <v>39</v>
      </c>
      <c r="B3" t="s">
        <v>40</v>
      </c>
      <c r="C3" t="s">
        <v>29</v>
      </c>
      <c r="D3" s="1" t="s">
        <v>31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x14ac:dyDescent="0.25">
      <c r="A4" t="s">
        <v>41</v>
      </c>
      <c r="B4" t="s">
        <v>42</v>
      </c>
      <c r="C4" t="s">
        <v>29</v>
      </c>
      <c r="D4" s="1" t="s">
        <v>32</v>
      </c>
      <c r="E4" s="17"/>
      <c r="F4" s="36"/>
      <c r="G4" s="36"/>
      <c r="H4" s="36"/>
      <c r="I4" s="36"/>
      <c r="J4" s="36"/>
      <c r="K4" s="36"/>
      <c r="L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x14ac:dyDescent="0.25">
      <c r="A5" t="s">
        <v>43</v>
      </c>
      <c r="B5" t="s">
        <v>44</v>
      </c>
      <c r="C5" t="s">
        <v>29</v>
      </c>
      <c r="D5" s="1" t="s">
        <v>33</v>
      </c>
      <c r="E5" s="17"/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x14ac:dyDescent="0.25">
      <c r="A6" t="s">
        <v>45</v>
      </c>
      <c r="B6" t="s">
        <v>46</v>
      </c>
      <c r="C6" t="s">
        <v>29</v>
      </c>
      <c r="D6" s="1" t="s">
        <v>34</v>
      </c>
      <c r="E6" s="17">
        <v>1</v>
      </c>
      <c r="F6" s="36">
        <v>2</v>
      </c>
      <c r="G6" s="36">
        <v>2</v>
      </c>
      <c r="H6" s="36">
        <v>7</v>
      </c>
      <c r="I6" s="36">
        <v>8</v>
      </c>
      <c r="J6" s="36">
        <v>133</v>
      </c>
      <c r="K6" s="36">
        <v>125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7" spans="1:13" x14ac:dyDescent="0.25">
      <c r="A7" t="s">
        <v>47</v>
      </c>
      <c r="B7" t="s">
        <v>48</v>
      </c>
      <c r="C7" t="s">
        <v>29</v>
      </c>
      <c r="D7" s="1" t="s">
        <v>35</v>
      </c>
      <c r="E7" s="17">
        <v>1</v>
      </c>
      <c r="F7" s="36">
        <v>4</v>
      </c>
      <c r="G7" s="36">
        <v>0</v>
      </c>
      <c r="H7" s="36">
        <v>12</v>
      </c>
      <c r="I7" s="36">
        <v>1</v>
      </c>
      <c r="J7" s="36">
        <v>147</v>
      </c>
      <c r="K7" s="36">
        <v>81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49</v>
      </c>
      <c r="B8" t="s">
        <v>50</v>
      </c>
      <c r="C8" t="s">
        <v>29</v>
      </c>
      <c r="D8" s="1" t="s">
        <v>36</v>
      </c>
      <c r="E8" s="17">
        <v>1</v>
      </c>
      <c r="F8" s="36">
        <v>4</v>
      </c>
      <c r="G8" s="36">
        <v>0</v>
      </c>
      <c r="H8" s="36">
        <v>12</v>
      </c>
      <c r="I8" s="36">
        <v>0</v>
      </c>
      <c r="J8" s="36">
        <v>135</v>
      </c>
      <c r="K8" s="36">
        <v>72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25">
      <c r="A9" t="s">
        <v>51</v>
      </c>
      <c r="B9" t="s">
        <v>52</v>
      </c>
      <c r="C9" t="s">
        <v>30</v>
      </c>
      <c r="D9" s="1" t="s">
        <v>31</v>
      </c>
      <c r="E9" s="17"/>
      <c r="F9" s="36"/>
      <c r="G9" s="36"/>
      <c r="H9" s="36"/>
      <c r="I9" s="36"/>
      <c r="J9" s="36"/>
      <c r="K9" s="36"/>
      <c r="L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0" spans="1:13" x14ac:dyDescent="0.25">
      <c r="A10" t="s">
        <v>53</v>
      </c>
      <c r="B10" t="s">
        <v>54</v>
      </c>
      <c r="C10" t="s">
        <v>30</v>
      </c>
      <c r="D10" s="1" t="s">
        <v>32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x14ac:dyDescent="0.25">
      <c r="A11" t="s">
        <v>55</v>
      </c>
      <c r="B11" t="s">
        <v>56</v>
      </c>
      <c r="C11" t="s">
        <v>30</v>
      </c>
      <c r="D11" s="1" t="s">
        <v>33</v>
      </c>
      <c r="E11" s="17">
        <v>1</v>
      </c>
      <c r="F11" s="36">
        <v>3</v>
      </c>
      <c r="G11" s="36">
        <v>1</v>
      </c>
      <c r="H11" s="36">
        <v>11</v>
      </c>
      <c r="I11" s="36">
        <v>4</v>
      </c>
      <c r="J11" s="36">
        <v>146</v>
      </c>
      <c r="K11" s="36">
        <v>96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x14ac:dyDescent="0.25">
      <c r="A12" t="s">
        <v>57</v>
      </c>
      <c r="B12" t="s">
        <v>58</v>
      </c>
      <c r="C12" t="s">
        <v>30</v>
      </c>
      <c r="D12" s="1" t="s">
        <v>34</v>
      </c>
      <c r="E12" s="17"/>
      <c r="F12" s="36"/>
      <c r="G12" s="36"/>
      <c r="H12" s="36"/>
      <c r="I12" s="36"/>
      <c r="J12" s="36"/>
      <c r="K12" s="36"/>
      <c r="L1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3" spans="1:13" x14ac:dyDescent="0.25">
      <c r="A13" t="s">
        <v>59</v>
      </c>
      <c r="B13" t="s">
        <v>60</v>
      </c>
      <c r="C13" t="s">
        <v>30</v>
      </c>
      <c r="D13" s="1" t="s">
        <v>35</v>
      </c>
      <c r="E13" s="17">
        <v>1</v>
      </c>
      <c r="F13" s="36">
        <v>4</v>
      </c>
      <c r="G13" s="36">
        <v>0</v>
      </c>
      <c r="H13" s="36">
        <v>12</v>
      </c>
      <c r="I13" s="36">
        <v>1</v>
      </c>
      <c r="J13" s="36">
        <v>134</v>
      </c>
      <c r="K13" s="36">
        <v>63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x14ac:dyDescent="0.25">
      <c r="A14" t="s">
        <v>61</v>
      </c>
      <c r="B14" t="s">
        <v>62</v>
      </c>
      <c r="C14" t="s">
        <v>30</v>
      </c>
      <c r="D14" s="1" t="s">
        <v>36</v>
      </c>
      <c r="E14" s="17">
        <v>1</v>
      </c>
      <c r="F14" s="36">
        <v>4</v>
      </c>
      <c r="G14" s="36">
        <v>0</v>
      </c>
      <c r="H14" s="36">
        <v>12</v>
      </c>
      <c r="I14" s="36">
        <v>0</v>
      </c>
      <c r="J14" s="36">
        <v>132</v>
      </c>
      <c r="K14" s="36">
        <v>49</v>
      </c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x14ac:dyDescent="0.25">
      <c r="A15" t="s">
        <v>63</v>
      </c>
      <c r="B15" t="s">
        <v>64</v>
      </c>
      <c r="C15" t="s">
        <v>31</v>
      </c>
      <c r="D15" s="1" t="s">
        <v>32</v>
      </c>
      <c r="E15" s="17"/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x14ac:dyDescent="0.25">
      <c r="A16" t="s">
        <v>65</v>
      </c>
      <c r="B16" t="s">
        <v>66</v>
      </c>
      <c r="C16" t="s">
        <v>31</v>
      </c>
      <c r="D16" s="1" t="s">
        <v>33</v>
      </c>
      <c r="E16" s="17">
        <v>1</v>
      </c>
      <c r="F16" s="36">
        <v>3</v>
      </c>
      <c r="G16" s="36">
        <v>1</v>
      </c>
      <c r="H16" s="36">
        <v>9</v>
      </c>
      <c r="I16" s="36">
        <v>4</v>
      </c>
      <c r="J16" s="36">
        <v>135</v>
      </c>
      <c r="K16" s="36">
        <v>81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25">
      <c r="A17" t="s">
        <v>67</v>
      </c>
      <c r="B17" t="s">
        <v>68</v>
      </c>
      <c r="C17" t="s">
        <v>31</v>
      </c>
      <c r="D17" s="1" t="s">
        <v>34</v>
      </c>
      <c r="E17" s="17">
        <v>1</v>
      </c>
      <c r="F17" s="36">
        <v>1</v>
      </c>
      <c r="G17" s="36">
        <v>3</v>
      </c>
      <c r="H17" s="36">
        <v>7</v>
      </c>
      <c r="I17" s="36">
        <v>9</v>
      </c>
      <c r="J17" s="36">
        <v>134</v>
      </c>
      <c r="K17" s="36">
        <v>151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x14ac:dyDescent="0.25">
      <c r="A18" t="s">
        <v>69</v>
      </c>
      <c r="B18" t="s">
        <v>70</v>
      </c>
      <c r="C18" t="s">
        <v>31</v>
      </c>
      <c r="D18" s="1" t="s">
        <v>35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25">
      <c r="A19" t="s">
        <v>71</v>
      </c>
      <c r="B19" t="s">
        <v>72</v>
      </c>
      <c r="C19" t="s">
        <v>31</v>
      </c>
      <c r="D19" s="1" t="s">
        <v>36</v>
      </c>
      <c r="E19" s="17">
        <v>1</v>
      </c>
      <c r="F19" s="36">
        <v>4</v>
      </c>
      <c r="G19" s="36">
        <v>0</v>
      </c>
      <c r="H19" s="36">
        <v>12</v>
      </c>
      <c r="I19" s="36">
        <v>0</v>
      </c>
      <c r="J19" s="36">
        <v>132</v>
      </c>
      <c r="K19" s="36">
        <v>31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25">
      <c r="A20" t="s">
        <v>73</v>
      </c>
      <c r="B20" t="s">
        <v>74</v>
      </c>
      <c r="C20" t="s">
        <v>32</v>
      </c>
      <c r="D20" s="1" t="s">
        <v>33</v>
      </c>
      <c r="E20" s="17">
        <v>1</v>
      </c>
      <c r="F20" s="36">
        <v>0</v>
      </c>
      <c r="G20" s="36">
        <v>4</v>
      </c>
      <c r="H20" s="36">
        <v>3</v>
      </c>
      <c r="I20" s="36">
        <v>11</v>
      </c>
      <c r="J20" s="36">
        <v>86</v>
      </c>
      <c r="K20" s="36">
        <v>148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1" spans="1:13" x14ac:dyDescent="0.25">
      <c r="A21" t="s">
        <v>75</v>
      </c>
      <c r="B21" t="s">
        <v>76</v>
      </c>
      <c r="C21" t="s">
        <v>32</v>
      </c>
      <c r="D21" s="1" t="s">
        <v>34</v>
      </c>
      <c r="E21" s="17">
        <v>1</v>
      </c>
      <c r="F21" s="36">
        <v>0</v>
      </c>
      <c r="G21" s="36">
        <v>4</v>
      </c>
      <c r="H21" s="36">
        <v>1</v>
      </c>
      <c r="I21" s="36">
        <v>11</v>
      </c>
      <c r="J21" s="36">
        <v>62</v>
      </c>
      <c r="K21" s="36">
        <v>128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x14ac:dyDescent="0.25">
      <c r="A22" t="s">
        <v>77</v>
      </c>
      <c r="B22" t="s">
        <v>78</v>
      </c>
      <c r="C22" t="s">
        <v>32</v>
      </c>
      <c r="D22" s="1" t="s">
        <v>35</v>
      </c>
      <c r="E22" s="17">
        <v>1</v>
      </c>
      <c r="F22" s="36">
        <v>3</v>
      </c>
      <c r="G22" s="36">
        <v>1</v>
      </c>
      <c r="H22" s="36">
        <v>9</v>
      </c>
      <c r="I22" s="36">
        <v>7</v>
      </c>
      <c r="J22" s="36">
        <v>126</v>
      </c>
      <c r="K22" s="36">
        <v>142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x14ac:dyDescent="0.25">
      <c r="A23" t="s">
        <v>79</v>
      </c>
      <c r="B23" t="s">
        <v>80</v>
      </c>
      <c r="C23" t="s">
        <v>32</v>
      </c>
      <c r="D23" s="1" t="s">
        <v>36</v>
      </c>
      <c r="E23" s="17"/>
      <c r="F23" s="36"/>
      <c r="G23" s="36"/>
      <c r="H23" s="36"/>
      <c r="I23" s="36"/>
      <c r="J23" s="36"/>
      <c r="K23" s="36"/>
      <c r="L2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4" spans="1:13" x14ac:dyDescent="0.25">
      <c r="A24" t="s">
        <v>81</v>
      </c>
      <c r="B24" t="s">
        <v>82</v>
      </c>
      <c r="C24" t="s">
        <v>33</v>
      </c>
      <c r="D24" s="1" t="s">
        <v>34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x14ac:dyDescent="0.25">
      <c r="A25" t="s">
        <v>83</v>
      </c>
      <c r="B25" t="s">
        <v>84</v>
      </c>
      <c r="C25" t="s">
        <v>33</v>
      </c>
      <c r="D25" s="1" t="s">
        <v>35</v>
      </c>
      <c r="E25" s="17"/>
      <c r="F25" s="36"/>
      <c r="G25" s="36"/>
      <c r="H25" s="36"/>
      <c r="I25" s="36"/>
      <c r="J25" s="36"/>
      <c r="K25" s="36"/>
      <c r="L2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6" spans="1:13" x14ac:dyDescent="0.25">
      <c r="A26" t="s">
        <v>85</v>
      </c>
      <c r="B26" t="s">
        <v>86</v>
      </c>
      <c r="C26" t="s">
        <v>33</v>
      </c>
      <c r="D26" s="1" t="s">
        <v>36</v>
      </c>
      <c r="E26" s="17"/>
      <c r="F26" s="36"/>
      <c r="G26" s="36"/>
      <c r="H26" s="36"/>
      <c r="I26" s="36"/>
      <c r="J26" s="36"/>
      <c r="K26" s="36"/>
      <c r="L2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7" spans="1:13" x14ac:dyDescent="0.25">
      <c r="A27" t="s">
        <v>87</v>
      </c>
      <c r="B27" t="s">
        <v>88</v>
      </c>
      <c r="C27" t="s">
        <v>34</v>
      </c>
      <c r="D27" s="1" t="s">
        <v>35</v>
      </c>
      <c r="E27" s="17"/>
      <c r="F27" s="36"/>
      <c r="G27" s="36"/>
      <c r="H27" s="36"/>
      <c r="I27" s="36"/>
      <c r="J27" s="36"/>
      <c r="K27" s="36"/>
      <c r="L2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8" spans="1:13" x14ac:dyDescent="0.25">
      <c r="A28" t="s">
        <v>89</v>
      </c>
      <c r="B28" t="s">
        <v>90</v>
      </c>
      <c r="C28" t="s">
        <v>34</v>
      </c>
      <c r="D28" s="1" t="s">
        <v>36</v>
      </c>
      <c r="E28" s="17"/>
      <c r="F28" s="36"/>
      <c r="G28" s="36"/>
      <c r="H28" s="36"/>
      <c r="I28" s="36"/>
      <c r="J28" s="36"/>
      <c r="K28" s="36"/>
      <c r="L2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9" spans="1:13" x14ac:dyDescent="0.25">
      <c r="A29" t="s">
        <v>91</v>
      </c>
      <c r="B29" t="s">
        <v>92</v>
      </c>
      <c r="C29" t="s">
        <v>35</v>
      </c>
      <c r="D29" s="1" t="s">
        <v>36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B2" sqref="B2"/>
    </sheetView>
  </sheetViews>
  <sheetFormatPr defaultRowHeight="15" x14ac:dyDescent="0.25"/>
  <cols>
    <col min="1" max="1" width="26.7109375" bestFit="1" customWidth="1"/>
    <col min="3" max="3" width="10" customWidth="1"/>
    <col min="5" max="5" width="12.7109375" bestFit="1" customWidth="1"/>
    <col min="6" max="6" width="14.5703125" style="69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8" t="s">
        <v>16</v>
      </c>
    </row>
    <row r="2" spans="1:6" x14ac:dyDescent="0.25">
      <c r="A2" t="s">
        <v>29</v>
      </c>
      <c r="B2">
        <f>IF(cs_1="","",100+SUMIF('Mérkőzések | eredmények'!C:C,cs_1,'Mérkőzések | eredmények'!L:L)+SUMIF('Mérkőzések | eredmények'!D:D,cs_1,'Mérkőzések | eredmények'!M:M))</f>
        <v>107</v>
      </c>
      <c r="C2">
        <f>IF(cs_1="","",100+SUMIF('Mérkőzések | eredmények'!$C:$C,cs_1,'Mérkőzések | eredmények'!F:F)+SUMIF('Mérkőzések | eredmények'!$D:$D,cs_1,'Mérkőzések | eredmények'!G:G))</f>
        <v>110</v>
      </c>
      <c r="D2">
        <f>IF(cs_1="","",100+SUMIF('Mérkőzések | eredmények'!$C:$C,cs_1,'Mérkőzések | eredmények'!H:H)+SUMIF('Mérkőzések | eredmények'!$D:$D,cs_1,'Mérkőzések | eredmények'!I:I))</f>
        <v>131</v>
      </c>
      <c r="E2">
        <f>IF(cs_1="","",1000+SUMIF('Mérkőzések | eredmények'!$C:$C,cs_1,'Mérkőzések | eredmények'!J:J)+SUMIF('Mérkőzések | eredmények'!$D:$D,cs_1,'Mérkőzések | eredmények'!K:K))</f>
        <v>1415</v>
      </c>
      <c r="F2" s="69">
        <f>IF(cs_1="","",VALUE(Csapatok[[#This Row],[Pontok]]&amp;Csapatok[[#This Row],[Nyert Mérkőzés]]&amp;Csapatok[[#This Row],[Nyert szettek]]&amp;Csapatok[[#This Row],[Szerzett pont]]))</f>
        <v>1071101311415</v>
      </c>
    </row>
    <row r="3" spans="1:6" x14ac:dyDescent="0.25">
      <c r="A3" t="s">
        <v>30</v>
      </c>
      <c r="B3">
        <f>IF(cs_2="","",100+SUMIF('Mérkőzések | eredmények'!C:C,cs_2,'Mérkőzések | eredmények'!L:L)+SUMIF('Mérkőzések | eredmények'!D:D,cs_2,'Mérkőzések | eredmények'!M:M))</f>
        <v>109</v>
      </c>
      <c r="C3">
        <f>IF(cs_2="","",100+SUMIF('Mérkőzések | eredmények'!$C:$C,cs_2,'Mérkőzések | eredmények'!F:F)+SUMIF('Mérkőzések | eredmények'!$D:$D,cs_2,'Mérkőzések | eredmények'!G:G))</f>
        <v>111</v>
      </c>
      <c r="D3">
        <f>IF(cs_2="","",100+SUMIF('Mérkőzések | eredmények'!$C:$C,cs_2,'Mérkőzések | eredmények'!H:H)+SUMIF('Mérkőzések | eredmények'!$D:$D,cs_2,'Mérkőzések | eredmények'!I:I))</f>
        <v>135</v>
      </c>
      <c r="E3">
        <f>IF(cs_2="","",1000+SUMIF('Mérkőzések | eredmények'!$C:$C,cs_2,'Mérkőzések | eredmények'!J:J)+SUMIF('Mérkőzések | eredmények'!$D:$D,cs_2,'Mérkőzések | eredmények'!K:K))</f>
        <v>1412</v>
      </c>
      <c r="F3" s="69">
        <f>IF(cs_2="","",VALUE(Csapatok[[#This Row],[Pontok]]&amp;Csapatok[[#This Row],[Nyert Mérkőzés]]&amp;Csapatok[[#This Row],[Nyert szettek]]&amp;Csapatok[[#This Row],[Szerzett pont]]))</f>
        <v>1091111351412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106</v>
      </c>
      <c r="C4">
        <f>IF(cs_3="","",100+SUMIF('Mérkőzések | eredmények'!$C:$C,cs_3,'Mérkőzések | eredmények'!F:F)+SUMIF('Mérkőzések | eredmények'!$D:$D,cs_3,'Mérkőzések | eredmények'!G:G))</f>
        <v>108</v>
      </c>
      <c r="D4">
        <f>IF(cs_3="","",100+SUMIF('Mérkőzések | eredmények'!$C:$C,cs_3,'Mérkőzések | eredmények'!H:H)+SUMIF('Mérkőzések | eredmények'!$D:$D,cs_3,'Mérkőzések | eredmények'!I:I))</f>
        <v>128</v>
      </c>
      <c r="E4">
        <f>IF(cs_3="","",1000+SUMIF('Mérkőzések | eredmények'!$C:$C,cs_3,'Mérkőzések | eredmények'!J:J)+SUMIF('Mérkőzések | eredmények'!$D:$D,cs_3,'Mérkőzések | eredmények'!K:K))</f>
        <v>1401</v>
      </c>
      <c r="F4" s="69">
        <f>IF(cs_3="","",VALUE(Csapatok[[#This Row],[Pontok]]&amp;Csapatok[[#This Row],[Nyert Mérkőzés]]&amp;Csapatok[[#This Row],[Nyert szettek]]&amp;Csapatok[[#This Row],[Szerzett pont]]))</f>
        <v>1061081281401</v>
      </c>
    </row>
    <row r="5" spans="1:6" x14ac:dyDescent="0.25">
      <c r="A5" t="s">
        <v>32</v>
      </c>
      <c r="B5">
        <f>IF(cs_4="","",100+SUMIF('Mérkőzések | eredmények'!C:C,cs_4,'Mérkőzések | eredmények'!L:L)+SUMIF('Mérkőzések | eredmények'!D:D,cs_4,'Mérkőzések | eredmények'!M:M))</f>
        <v>103</v>
      </c>
      <c r="C5">
        <f>IF(cs_4="","",100+SUMIF('Mérkőzések | eredmények'!$C:$C,cs_4,'Mérkőzések | eredmények'!F:F)+SUMIF('Mérkőzések | eredmények'!$D:$D,cs_4,'Mérkőzések | eredmények'!G:G))</f>
        <v>103</v>
      </c>
      <c r="D5">
        <f>IF(cs_4="","",100+SUMIF('Mérkőzések | eredmények'!$C:$C,cs_4,'Mérkőzések | eredmények'!H:H)+SUMIF('Mérkőzések | eredmények'!$D:$D,cs_4,'Mérkőzések | eredmények'!I:I))</f>
        <v>113</v>
      </c>
      <c r="E5">
        <f>IF(cs_4="","",1000+SUMIF('Mérkőzések | eredmények'!$C:$C,cs_4,'Mérkőzések | eredmények'!J:J)+SUMIF('Mérkőzések | eredmények'!$D:$D,cs_4,'Mérkőzések | eredmények'!K:K))</f>
        <v>1274</v>
      </c>
      <c r="F5" s="69">
        <f>IF(cs_4="","",VALUE(Csapatok[[#This Row],[Pontok]]&amp;Csapatok[[#This Row],[Nyert Mérkőzés]]&amp;Csapatok[[#This Row],[Nyert szettek]]&amp;Csapatok[[#This Row],[Szerzett pont]]))</f>
        <v>1031031131274</v>
      </c>
    </row>
    <row r="6" spans="1:6" x14ac:dyDescent="0.25">
      <c r="A6" t="s">
        <v>33</v>
      </c>
      <c r="B6">
        <f>IF(cs_5="","",100+SUMIF('Mérkőzések | eredmények'!C:C,cs_5,'Mérkőzések | eredmények'!L:L)+SUMIF('Mérkőzések | eredmények'!D:D,cs_5,'Mérkőzések | eredmények'!M:M))</f>
        <v>103</v>
      </c>
      <c r="C6">
        <f>IF(cs_5="","",100+SUMIF('Mérkőzések | eredmények'!$C:$C,cs_5,'Mérkőzések | eredmények'!F:F)+SUMIF('Mérkőzések | eredmények'!$D:$D,cs_5,'Mérkőzések | eredmények'!G:G))</f>
        <v>106</v>
      </c>
      <c r="D6">
        <f>IF(cs_5="","",100+SUMIF('Mérkőzések | eredmények'!$C:$C,cs_5,'Mérkőzések | eredmények'!H:H)+SUMIF('Mérkőzések | eredmények'!$D:$D,cs_5,'Mérkőzések | eredmények'!I:I))</f>
        <v>119</v>
      </c>
      <c r="E6">
        <f>IF(cs_5="","",1000+SUMIF('Mérkőzések | eredmények'!$C:$C,cs_5,'Mérkőzések | eredmények'!J:J)+SUMIF('Mérkőzések | eredmények'!$D:$D,cs_5,'Mérkőzések | eredmények'!K:K))</f>
        <v>1325</v>
      </c>
      <c r="F6" s="69">
        <f>IF(cs_5="","",VALUE(Csapatok[[#This Row],[Pontok]]&amp;Csapatok[[#This Row],[Nyert Mérkőzés]]&amp;Csapatok[[#This Row],[Nyert szettek]]&amp;Csapatok[[#This Row],[Szerzett pont]]))</f>
        <v>1031061191325</v>
      </c>
    </row>
    <row r="7" spans="1:6" x14ac:dyDescent="0.25">
      <c r="A7" t="s">
        <v>34</v>
      </c>
      <c r="B7">
        <f>IF(cs_6="","",100+SUMIF('Mérkőzések | eredmények'!C:C,cs_6,'Mérkőzések | eredmények'!L:L)+SUMIF('Mérkőzések | eredmények'!D:D,cs_6,'Mérkőzések | eredmények'!M:M))</f>
        <v>108</v>
      </c>
      <c r="C7">
        <f>IF(cs_6="","",100+SUMIF('Mérkőzések | eredmények'!$C:$C,cs_6,'Mérkőzések | eredmények'!F:F)+SUMIF('Mérkőzések | eredmények'!$D:$D,cs_6,'Mérkőzések | eredmények'!G:G))</f>
        <v>109</v>
      </c>
      <c r="D7">
        <f>IF(cs_6="","",100+SUMIF('Mérkőzések | eredmények'!$C:$C,cs_6,'Mérkőzések | eredmények'!H:H)+SUMIF('Mérkőzések | eredmények'!$D:$D,cs_6,'Mérkőzések | eredmények'!I:I))</f>
        <v>128</v>
      </c>
      <c r="E7">
        <f>IF(cs_6="","",1000+SUMIF('Mérkőzések | eredmények'!$C:$C,cs_6,'Mérkőzések | eredmények'!J:J)+SUMIF('Mérkőzések | eredmények'!$D:$D,cs_6,'Mérkőzések | eredmények'!K:K))</f>
        <v>1404</v>
      </c>
      <c r="F7" s="69">
        <f>IF(cs_6="","",VALUE(Csapatok[[#This Row],[Pontok]]&amp;Csapatok[[#This Row],[Nyert Mérkőzés]]&amp;Csapatok[[#This Row],[Nyert szettek]]&amp;Csapatok[[#This Row],[Szerzett pont]]))</f>
        <v>1081091281404</v>
      </c>
    </row>
    <row r="8" spans="1:6" x14ac:dyDescent="0.25">
      <c r="A8" t="s">
        <v>35</v>
      </c>
      <c r="B8">
        <f>IF(cs_7="","",100+SUMIF('Mérkőzések | eredmények'!C:C,cs_7,'Mérkőzések | eredmények'!L:L)+SUMIF('Mérkőzések | eredmények'!D:D,cs_7,'Mérkőzések | eredmények'!M:M))</f>
        <v>100</v>
      </c>
      <c r="C8">
        <f>IF(cs_7="","",100+SUMIF('Mérkőzések | eredmények'!$C:$C,cs_7,'Mérkőzések | eredmények'!F:F)+SUMIF('Mérkőzések | eredmények'!$D:$D,cs_7,'Mérkőzések | eredmények'!G:G))</f>
        <v>101</v>
      </c>
      <c r="D8">
        <f>IF(cs_7="","",100+SUMIF('Mérkőzések | eredmények'!$C:$C,cs_7,'Mérkőzések | eredmények'!H:H)+SUMIF('Mérkőzések | eredmények'!$D:$D,cs_7,'Mérkőzések | eredmények'!I:I))</f>
        <v>109</v>
      </c>
      <c r="E8">
        <f>IF(cs_7="","",1000+SUMIF('Mérkőzések | eredmények'!$C:$C,cs_7,'Mérkőzések | eredmények'!J:J)+SUMIF('Mérkőzések | eredmények'!$D:$D,cs_7,'Mérkőzések | eredmények'!K:K))</f>
        <v>1286</v>
      </c>
      <c r="F8" s="69">
        <f>IF(cs_7="","",VALUE(Csapatok[[#This Row],[Pontok]]&amp;Csapatok[[#This Row],[Nyert Mérkőzés]]&amp;Csapatok[[#This Row],[Nyert szettek]]&amp;Csapatok[[#This Row],[Szerzett pont]]))</f>
        <v>1001011091286</v>
      </c>
    </row>
    <row r="9" spans="1:6" x14ac:dyDescent="0.25">
      <c r="A9" t="s">
        <v>36</v>
      </c>
      <c r="B9">
        <f>IF(cs_8="","",100+SUMIF('Mérkőzések | eredmények'!C:C,cs_8,'Mérkőzések | eredmények'!L:L)+SUMIF('Mérkőzések | eredmények'!D:D,cs_8,'Mérkőzések | eredmények'!M:M))</f>
        <v>100</v>
      </c>
      <c r="C9">
        <f>IF(cs_8="","",100+SUMIF('Mérkőzések | eredmények'!$C:$C,cs_8,'Mérkőzések | eredmények'!F:F)+SUMIF('Mérkőzések | eredmények'!$D:$D,cs_8,'Mérkőzések | eredmények'!G:G))</f>
        <v>100</v>
      </c>
      <c r="D9">
        <f>IF(cs_8="","",100+SUMIF('Mérkőzések | eredmények'!$C:$C,cs_8,'Mérkőzések | eredmények'!H:H)+SUMIF('Mérkőzések | eredmények'!$D:$D,cs_8,'Mérkőzések | eredmények'!I:I))</f>
        <v>100</v>
      </c>
      <c r="E9">
        <f>IF(cs_8="","",1000+SUMIF('Mérkőzések | eredmények'!$C:$C,cs_8,'Mérkőzések | eredmények'!J:J)+SUMIF('Mérkőzések | eredmények'!$D:$D,cs_8,'Mérkőzések | eredmények'!K:K))</f>
        <v>1152</v>
      </c>
      <c r="F9" s="69">
        <f>IF(cs_8="","",VALUE(Csapatok[[#This Row],[Pontok]]&amp;Csapatok[[#This Row],[Nyert Mérkőzés]]&amp;Csapatok[[#This Row],[Nyert szettek]]&amp;Csapatok[[#This Row],[Szerzett pont]]))</f>
        <v>1001001001152</v>
      </c>
    </row>
    <row r="10" spans="1:6" x14ac:dyDescent="0.25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69" t="str">
        <f>IF(cs_9="","",VALUE(Csapatok[[#This Row],[Pontok]]&amp;Csapatok[[#This Row],[Nyert Mérkőzés]]&amp;Csapatok[[#This Row],[Nyert szettek]]&amp;Csapatok[[#This Row],[Szerzett pont]]))</f>
        <v/>
      </c>
    </row>
    <row r="11" spans="1:6" x14ac:dyDescent="0.25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69" t="str">
        <f>IF(cs_10="","",VALUE(Csapatok[[#This Row],[Pontok]]&amp;Csapatok[[#This Row],[Nyert Mérkőzés]]&amp;Csapatok[[#This Row],[Nyert szettek]]&amp;Csapatok[[#This Row],[Szerzett pont]]))</f>
        <v/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9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94"/>
  <sheetViews>
    <sheetView topLeftCell="B1" workbookViewId="0">
      <selection activeCell="I99" sqref="I99"/>
    </sheetView>
  </sheetViews>
  <sheetFormatPr defaultRowHeight="15" x14ac:dyDescent="0.25"/>
  <cols>
    <col min="1" max="1" width="16.85546875" hidden="1" customWidth="1"/>
    <col min="2" max="2" width="45.28515625" style="60" bestFit="1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85" t="s">
        <v>24</v>
      </c>
      <c r="R1" s="86"/>
      <c r="S1" s="86" t="s">
        <v>25</v>
      </c>
      <c r="T1" s="86"/>
      <c r="U1" s="86" t="s">
        <v>26</v>
      </c>
      <c r="V1" s="87"/>
    </row>
    <row r="2" spans="1:22" ht="19.5" thickBot="1" x14ac:dyDescent="0.3">
      <c r="A2" t="str">
        <f>IF(B2="","",B2&amp;"|"&amp;D2)</f>
        <v>Squashberek|BUDAÖRSI LABDA EGYLET I.</v>
      </c>
      <c r="B2" s="53" t="s">
        <v>93</v>
      </c>
      <c r="C2" s="54" t="s">
        <v>22</v>
      </c>
      <c r="D2" s="55" t="s">
        <v>34</v>
      </c>
      <c r="E2" s="82" t="s">
        <v>17</v>
      </c>
      <c r="F2" s="83"/>
      <c r="G2" s="82" t="s">
        <v>18</v>
      </c>
      <c r="H2" s="83"/>
      <c r="I2" s="84" t="s">
        <v>19</v>
      </c>
      <c r="J2" s="84"/>
      <c r="K2" s="82" t="s">
        <v>20</v>
      </c>
      <c r="L2" s="83"/>
      <c r="M2" s="84" t="s">
        <v>21</v>
      </c>
      <c r="N2" s="83"/>
      <c r="O2" s="84" t="s">
        <v>23</v>
      </c>
      <c r="P2" s="84"/>
      <c r="Q2" s="57">
        <f>IF(O3&gt;P3,1,0)+IF(O4&gt;P4,1,0)+IF(O5&gt;P5,1,0)+IF(O6&gt;P6,1,0)</f>
        <v>2</v>
      </c>
      <c r="R2" s="58">
        <f>IF(O3&lt;P3,1,0)+IF(O4&lt;P4,1,0)+IF(O5&lt;P5,1,0)+IF(O6&lt;P6,1,0)</f>
        <v>2</v>
      </c>
      <c r="S2" s="58">
        <f>SUM(O3:O6)</f>
        <v>8</v>
      </c>
      <c r="T2" s="58">
        <f>SUM(P3:P6)</f>
        <v>7</v>
      </c>
      <c r="U2" s="58">
        <f>SUM(E3:E6,G3:G6,I3:I6,K3:K6,M3:M6)</f>
        <v>125</v>
      </c>
      <c r="V2" s="59">
        <f>SUM(F3:F6,H3:H6,J3:J6,L3:L6,N3:N6)</f>
        <v>133</v>
      </c>
    </row>
    <row r="3" spans="1:22" ht="18" customHeight="1" x14ac:dyDescent="0.3">
      <c r="B3" s="61" t="s">
        <v>94</v>
      </c>
      <c r="C3" s="41">
        <v>4</v>
      </c>
      <c r="D3" s="56" t="s">
        <v>95</v>
      </c>
      <c r="E3" s="50">
        <v>11</v>
      </c>
      <c r="F3" s="45">
        <v>8</v>
      </c>
      <c r="G3" s="50">
        <v>9</v>
      </c>
      <c r="H3" s="45">
        <v>11</v>
      </c>
      <c r="I3" s="44">
        <v>11</v>
      </c>
      <c r="J3" s="45">
        <v>9</v>
      </c>
      <c r="K3" s="50">
        <v>10</v>
      </c>
      <c r="L3" s="45">
        <v>12</v>
      </c>
      <c r="M3" s="44">
        <v>6</v>
      </c>
      <c r="N3" s="45">
        <v>11</v>
      </c>
      <c r="O3" s="44">
        <f>IF(E3&gt;F3,1,0)+IF(G3&gt;H3,1,0)+IF(I3&gt;J3,1,0)+IF(K3&gt;L3,1,0)+IF(M3&gt;N3,1,0)</f>
        <v>2</v>
      </c>
      <c r="P3" s="45">
        <f>IF(E3&lt;F3,1,0)+IF(G3&lt;H3,1,0)+IF(I3&lt;J3,1,0)+IF(K3&lt;L3,1,0)+IF(M3&lt;N3,1,0)</f>
        <v>3</v>
      </c>
    </row>
    <row r="4" spans="1:22" ht="18" customHeight="1" x14ac:dyDescent="0.3">
      <c r="B4" s="62" t="s">
        <v>96</v>
      </c>
      <c r="C4" s="42">
        <v>3</v>
      </c>
      <c r="D4" s="39" t="s">
        <v>97</v>
      </c>
      <c r="E4" s="51">
        <v>3</v>
      </c>
      <c r="F4" s="47">
        <v>11</v>
      </c>
      <c r="G4" s="51">
        <v>0</v>
      </c>
      <c r="H4" s="47">
        <v>11</v>
      </c>
      <c r="I4" s="46">
        <v>5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" customHeight="1" x14ac:dyDescent="0.3">
      <c r="B5" s="62" t="s">
        <v>98</v>
      </c>
      <c r="C5" s="42">
        <v>1</v>
      </c>
      <c r="D5" s="39" t="s">
        <v>99</v>
      </c>
      <c r="E5" s="51">
        <v>11</v>
      </c>
      <c r="F5" s="47">
        <v>6</v>
      </c>
      <c r="G5" s="51">
        <v>3</v>
      </c>
      <c r="H5" s="47">
        <v>11</v>
      </c>
      <c r="I5" s="46">
        <v>12</v>
      </c>
      <c r="J5" s="47">
        <v>10</v>
      </c>
      <c r="K5" s="51">
        <v>11</v>
      </c>
      <c r="L5" s="47">
        <v>7</v>
      </c>
      <c r="M5" s="46"/>
      <c r="N5" s="47"/>
      <c r="O5" s="46">
        <f t="shared" si="0"/>
        <v>3</v>
      </c>
      <c r="P5" s="47">
        <f t="shared" si="1"/>
        <v>1</v>
      </c>
    </row>
    <row r="6" spans="1:22" ht="18" customHeight="1" thickBot="1" x14ac:dyDescent="0.35">
      <c r="B6" s="63" t="s">
        <v>100</v>
      </c>
      <c r="C6" s="43">
        <v>2</v>
      </c>
      <c r="D6" s="40" t="s">
        <v>101</v>
      </c>
      <c r="E6" s="52">
        <v>11</v>
      </c>
      <c r="F6" s="49">
        <v>4</v>
      </c>
      <c r="G6" s="52">
        <v>11</v>
      </c>
      <c r="H6" s="49">
        <v>7</v>
      </c>
      <c r="I6" s="48">
        <v>11</v>
      </c>
      <c r="J6" s="49">
        <v>4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85" t="s">
        <v>24</v>
      </c>
      <c r="R9" s="86"/>
      <c r="S9" s="86" t="s">
        <v>25</v>
      </c>
      <c r="T9" s="86"/>
      <c r="U9" s="86" t="s">
        <v>26</v>
      </c>
      <c r="V9" s="87"/>
    </row>
    <row r="10" spans="1:22" ht="19.5" thickBot="1" x14ac:dyDescent="0.3">
      <c r="A10" t="str">
        <f>IF(B10="","",B10&amp;"|"&amp;D10)</f>
        <v>TOP CHALLENGE I.|CITY SQUASH CLUB SE</v>
      </c>
      <c r="B10" s="53" t="s">
        <v>35</v>
      </c>
      <c r="C10" s="54" t="s">
        <v>22</v>
      </c>
      <c r="D10" s="55" t="s">
        <v>30</v>
      </c>
      <c r="E10" s="82" t="s">
        <v>17</v>
      </c>
      <c r="F10" s="83"/>
      <c r="G10" s="82" t="s">
        <v>18</v>
      </c>
      <c r="H10" s="83"/>
      <c r="I10" s="84" t="s">
        <v>19</v>
      </c>
      <c r="J10" s="84"/>
      <c r="K10" s="82" t="s">
        <v>20</v>
      </c>
      <c r="L10" s="83"/>
      <c r="M10" s="84" t="s">
        <v>21</v>
      </c>
      <c r="N10" s="83"/>
      <c r="O10" s="84" t="s">
        <v>23</v>
      </c>
      <c r="P10" s="84"/>
      <c r="Q10" s="57">
        <f>IF(O11&gt;P11,1,0)+IF(O12&gt;P12,1,0)+IF(O13&gt;P13,1,0)+IF(O14&gt;P14,1,0)</f>
        <v>0</v>
      </c>
      <c r="R10" s="58">
        <f>IF(O11&lt;P11,1,0)+IF(O12&lt;P12,1,0)+IF(O13&lt;P13,1,0)+IF(O14&lt;P14,1,0)</f>
        <v>4</v>
      </c>
      <c r="S10" s="58">
        <f>SUM(O11:O14)</f>
        <v>1</v>
      </c>
      <c r="T10" s="58">
        <f>SUM(P11:P14)</f>
        <v>12</v>
      </c>
      <c r="U10" s="58">
        <f>SUM(E11:E14,G11:G14,I11:I14,K11:K14,M11:M14)</f>
        <v>63</v>
      </c>
      <c r="V10" s="59">
        <f>SUM(F11:F14,H11:H14,J11:J14,L11:L14,N11:N14)</f>
        <v>134</v>
      </c>
    </row>
    <row r="11" spans="1:22" ht="18.75" x14ac:dyDescent="0.3">
      <c r="B11" s="61" t="s">
        <v>102</v>
      </c>
      <c r="C11" s="41">
        <v>4</v>
      </c>
      <c r="D11" s="56" t="s">
        <v>103</v>
      </c>
      <c r="E11" s="50">
        <v>1</v>
      </c>
      <c r="F11" s="45">
        <v>11</v>
      </c>
      <c r="G11" s="50">
        <v>8</v>
      </c>
      <c r="H11" s="45">
        <v>11</v>
      </c>
      <c r="I11" s="44">
        <v>4</v>
      </c>
      <c r="J11" s="45">
        <v>11</v>
      </c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.75" x14ac:dyDescent="0.3">
      <c r="B12" s="62" t="s">
        <v>104</v>
      </c>
      <c r="C12" s="42">
        <v>3</v>
      </c>
      <c r="D12" s="39" t="s">
        <v>105</v>
      </c>
      <c r="E12" s="51">
        <v>4</v>
      </c>
      <c r="F12" s="47">
        <v>11</v>
      </c>
      <c r="G12" s="51">
        <v>5</v>
      </c>
      <c r="H12" s="47">
        <v>11</v>
      </c>
      <c r="I12" s="46">
        <v>6</v>
      </c>
      <c r="J12" s="47">
        <v>11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2" t="s">
        <v>106</v>
      </c>
      <c r="C13" s="42">
        <v>1</v>
      </c>
      <c r="D13" s="39" t="s">
        <v>107</v>
      </c>
      <c r="E13" s="51">
        <v>2</v>
      </c>
      <c r="F13" s="47">
        <v>11</v>
      </c>
      <c r="G13" s="51">
        <v>4</v>
      </c>
      <c r="H13" s="47">
        <v>11</v>
      </c>
      <c r="I13" s="46">
        <v>4</v>
      </c>
      <c r="J13" s="47">
        <v>11</v>
      </c>
      <c r="K13" s="51"/>
      <c r="L13" s="47"/>
      <c r="M13" s="46"/>
      <c r="N13" s="47"/>
      <c r="O13" s="46">
        <f t="shared" si="2"/>
        <v>0</v>
      </c>
      <c r="P13" s="47">
        <f t="shared" si="3"/>
        <v>3</v>
      </c>
    </row>
    <row r="14" spans="1:22" ht="19.5" thickBot="1" x14ac:dyDescent="0.35">
      <c r="B14" s="63" t="s">
        <v>108</v>
      </c>
      <c r="C14" s="43">
        <v>2</v>
      </c>
      <c r="D14" s="40" t="s">
        <v>109</v>
      </c>
      <c r="E14" s="52">
        <v>11</v>
      </c>
      <c r="F14" s="49">
        <v>2</v>
      </c>
      <c r="G14" s="52">
        <v>5</v>
      </c>
      <c r="H14" s="49">
        <v>11</v>
      </c>
      <c r="I14" s="48">
        <v>3</v>
      </c>
      <c r="J14" s="49">
        <v>11</v>
      </c>
      <c r="K14" s="52">
        <v>6</v>
      </c>
      <c r="L14" s="49">
        <v>11</v>
      </c>
      <c r="M14" s="48"/>
      <c r="N14" s="49"/>
      <c r="O14" s="48">
        <f t="shared" si="2"/>
        <v>1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85" t="s">
        <v>24</v>
      </c>
      <c r="R17" s="86"/>
      <c r="S17" s="86" t="s">
        <v>25</v>
      </c>
      <c r="T17" s="86"/>
      <c r="U17" s="86" t="s">
        <v>26</v>
      </c>
      <c r="V17" s="87"/>
    </row>
    <row r="18" spans="1:22" ht="19.5" thickBot="1" x14ac:dyDescent="0.3">
      <c r="A18" t="str">
        <f>IF(B18="","",B18&amp;"|"&amp;D18)</f>
        <v>BORDROGI BAU-SZEGED SQUASH SE I.|GEKKO</v>
      </c>
      <c r="B18" s="53" t="s">
        <v>31</v>
      </c>
      <c r="C18" s="54" t="s">
        <v>22</v>
      </c>
      <c r="D18" s="55" t="s">
        <v>36</v>
      </c>
      <c r="E18" s="82" t="s">
        <v>17</v>
      </c>
      <c r="F18" s="83"/>
      <c r="G18" s="82" t="s">
        <v>18</v>
      </c>
      <c r="H18" s="83"/>
      <c r="I18" s="84" t="s">
        <v>19</v>
      </c>
      <c r="J18" s="84"/>
      <c r="K18" s="82" t="s">
        <v>20</v>
      </c>
      <c r="L18" s="83"/>
      <c r="M18" s="84" t="s">
        <v>21</v>
      </c>
      <c r="N18" s="83"/>
      <c r="O18" s="84" t="s">
        <v>23</v>
      </c>
      <c r="P18" s="84"/>
      <c r="Q18" s="57">
        <f>IF(O19&gt;P19,1,0)+IF(O20&gt;P20,1,0)+IF(O21&gt;P21,1,0)+IF(O22&gt;P22,1,0)</f>
        <v>4</v>
      </c>
      <c r="R18" s="58">
        <f>IF(O19&lt;P19,1,0)+IF(O20&lt;P20,1,0)+IF(O21&lt;P21,1,0)+IF(O22&lt;P22,1,0)</f>
        <v>0</v>
      </c>
      <c r="S18" s="58">
        <f>SUM(O19:O22)</f>
        <v>12</v>
      </c>
      <c r="T18" s="58">
        <f>SUM(P19:P22)</f>
        <v>0</v>
      </c>
      <c r="U18" s="58">
        <f>SUM(E19:E22,G19:G22,I19:I22,K19:K22,M19:M22)</f>
        <v>132</v>
      </c>
      <c r="V18" s="59">
        <f>SUM(F19:F22,H19:H22,J19:J22,L19:L22,N19:N22)</f>
        <v>31</v>
      </c>
    </row>
    <row r="19" spans="1:22" ht="18.75" x14ac:dyDescent="0.3">
      <c r="B19" s="61" t="s">
        <v>110</v>
      </c>
      <c r="C19" s="41">
        <v>4</v>
      </c>
      <c r="D19" s="56" t="s">
        <v>111</v>
      </c>
      <c r="E19" s="50">
        <v>11</v>
      </c>
      <c r="F19" s="45">
        <v>6</v>
      </c>
      <c r="G19" s="50">
        <v>11</v>
      </c>
      <c r="H19" s="45">
        <v>3</v>
      </c>
      <c r="I19" s="44">
        <v>11</v>
      </c>
      <c r="J19" s="45">
        <v>6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.75" x14ac:dyDescent="0.3">
      <c r="B20" s="62" t="s">
        <v>112</v>
      </c>
      <c r="C20" s="42">
        <v>3</v>
      </c>
      <c r="D20" s="39" t="s">
        <v>113</v>
      </c>
      <c r="E20" s="51">
        <v>11</v>
      </c>
      <c r="F20" s="47">
        <v>4</v>
      </c>
      <c r="G20" s="51">
        <v>11</v>
      </c>
      <c r="H20" s="47">
        <v>2</v>
      </c>
      <c r="I20" s="46">
        <v>11</v>
      </c>
      <c r="J20" s="47">
        <v>0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114</v>
      </c>
      <c r="C21" s="42">
        <v>1</v>
      </c>
      <c r="D21" s="39" t="s">
        <v>115</v>
      </c>
      <c r="E21" s="51">
        <v>11</v>
      </c>
      <c r="F21" s="47">
        <v>0</v>
      </c>
      <c r="G21" s="51">
        <v>11</v>
      </c>
      <c r="H21" s="47">
        <v>1</v>
      </c>
      <c r="I21" s="46">
        <v>11</v>
      </c>
      <c r="J21" s="47">
        <v>2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3" t="s">
        <v>116</v>
      </c>
      <c r="C22" s="43">
        <v>2</v>
      </c>
      <c r="D22" s="40" t="s">
        <v>117</v>
      </c>
      <c r="E22" s="52">
        <v>11</v>
      </c>
      <c r="F22" s="49">
        <v>4</v>
      </c>
      <c r="G22" s="52">
        <v>11</v>
      </c>
      <c r="H22" s="49">
        <v>2</v>
      </c>
      <c r="I22" s="48">
        <v>11</v>
      </c>
      <c r="J22" s="49">
        <v>1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85" t="s">
        <v>24</v>
      </c>
      <c r="R25" s="86"/>
      <c r="S25" s="86" t="s">
        <v>25</v>
      </c>
      <c r="T25" s="86"/>
      <c r="U25" s="86" t="s">
        <v>26</v>
      </c>
      <c r="V25" s="87"/>
    </row>
    <row r="26" spans="1:22" ht="19.5" thickBot="1" x14ac:dyDescent="0.3">
      <c r="A26" t="str">
        <f>IF(B26="","",B26&amp;"|"&amp;D26)</f>
        <v>ANICO KÉSZHÁZAK EGRI SQUASH SE|CSÉ-STAR TEAM I.</v>
      </c>
      <c r="B26" s="53" t="s">
        <v>33</v>
      </c>
      <c r="C26" s="54" t="s">
        <v>22</v>
      </c>
      <c r="D26" s="55" t="s">
        <v>32</v>
      </c>
      <c r="E26" s="82" t="s">
        <v>17</v>
      </c>
      <c r="F26" s="83"/>
      <c r="G26" s="82" t="s">
        <v>18</v>
      </c>
      <c r="H26" s="83"/>
      <c r="I26" s="84" t="s">
        <v>19</v>
      </c>
      <c r="J26" s="84"/>
      <c r="K26" s="82" t="s">
        <v>20</v>
      </c>
      <c r="L26" s="83"/>
      <c r="M26" s="84" t="s">
        <v>21</v>
      </c>
      <c r="N26" s="83"/>
      <c r="O26" s="84" t="s">
        <v>23</v>
      </c>
      <c r="P26" s="84"/>
      <c r="Q26" s="57">
        <f>IF(O27&gt;P27,1,0)+IF(O28&gt;P28,1,0)+IF(O29&gt;P29,1,0)+IF(O30&gt;P30,1,0)</f>
        <v>4</v>
      </c>
      <c r="R26" s="58">
        <f>IF(O27&lt;P27,1,0)+IF(O28&lt;P28,1,0)+IF(O29&lt;P29,1,0)+IF(O30&lt;P30,1,0)</f>
        <v>0</v>
      </c>
      <c r="S26" s="58">
        <f>SUM(O27:O30)</f>
        <v>11</v>
      </c>
      <c r="T26" s="58">
        <f>SUM(P27:P30)</f>
        <v>3</v>
      </c>
      <c r="U26" s="58">
        <f>SUM(E27:E30,G27:G30,I27:I30,K27:K30,M27:M30)</f>
        <v>148</v>
      </c>
      <c r="V26" s="59">
        <f>SUM(F27:F30,H27:H30,J27:J30,L27:L30,N27:N30)</f>
        <v>86</v>
      </c>
    </row>
    <row r="27" spans="1:22" ht="18.75" x14ac:dyDescent="0.3">
      <c r="B27" s="61" t="s">
        <v>118</v>
      </c>
      <c r="C27" s="41">
        <v>4</v>
      </c>
      <c r="D27" s="56" t="s">
        <v>119</v>
      </c>
      <c r="E27" s="50">
        <v>11</v>
      </c>
      <c r="F27" s="45">
        <v>0</v>
      </c>
      <c r="G27" s="50">
        <v>11</v>
      </c>
      <c r="H27" s="45">
        <v>0</v>
      </c>
      <c r="I27" s="44">
        <v>11</v>
      </c>
      <c r="J27" s="45">
        <v>0</v>
      </c>
      <c r="K27" s="50"/>
      <c r="L27" s="45"/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0</v>
      </c>
    </row>
    <row r="28" spans="1:22" ht="18.75" x14ac:dyDescent="0.3">
      <c r="B28" s="62" t="s">
        <v>120</v>
      </c>
      <c r="C28" s="42">
        <v>3</v>
      </c>
      <c r="D28" s="39" t="s">
        <v>121</v>
      </c>
      <c r="E28" s="51">
        <v>11</v>
      </c>
      <c r="F28" s="47">
        <v>5</v>
      </c>
      <c r="G28" s="51">
        <v>8</v>
      </c>
      <c r="H28" s="47">
        <v>11</v>
      </c>
      <c r="I28" s="46">
        <v>10</v>
      </c>
      <c r="J28" s="47">
        <v>12</v>
      </c>
      <c r="K28" s="51">
        <v>11</v>
      </c>
      <c r="L28" s="47">
        <v>5</v>
      </c>
      <c r="M28" s="46">
        <v>11</v>
      </c>
      <c r="N28" s="47">
        <v>8</v>
      </c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2</v>
      </c>
    </row>
    <row r="29" spans="1:22" ht="18.75" x14ac:dyDescent="0.3">
      <c r="B29" s="62" t="s">
        <v>122</v>
      </c>
      <c r="C29" s="42">
        <v>1</v>
      </c>
      <c r="D29" s="39" t="s">
        <v>123</v>
      </c>
      <c r="E29" s="51">
        <v>11</v>
      </c>
      <c r="F29" s="47">
        <v>6</v>
      </c>
      <c r="G29" s="51">
        <v>11</v>
      </c>
      <c r="H29" s="47">
        <v>5</v>
      </c>
      <c r="I29" s="46">
        <v>11</v>
      </c>
      <c r="J29" s="47">
        <v>7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9.5" thickBot="1" x14ac:dyDescent="0.35">
      <c r="B30" s="63" t="s">
        <v>124</v>
      </c>
      <c r="C30" s="43">
        <v>2</v>
      </c>
      <c r="D30" s="40" t="s">
        <v>125</v>
      </c>
      <c r="E30" s="52">
        <v>9</v>
      </c>
      <c r="F30" s="49">
        <v>11</v>
      </c>
      <c r="G30" s="52">
        <v>11</v>
      </c>
      <c r="H30" s="49">
        <v>7</v>
      </c>
      <c r="I30" s="48">
        <v>11</v>
      </c>
      <c r="J30" s="49">
        <v>9</v>
      </c>
      <c r="K30" s="52"/>
      <c r="L30" s="49"/>
      <c r="M30" s="48"/>
      <c r="N30" s="49"/>
      <c r="O30" s="48">
        <f t="shared" si="6"/>
        <v>2</v>
      </c>
      <c r="P30" s="49">
        <f t="shared" si="7"/>
        <v>1</v>
      </c>
    </row>
    <row r="32" spans="1:22" ht="15.75" thickBot="1" x14ac:dyDescent="0.3"/>
    <row r="33" spans="1:22" ht="15.75" thickBot="1" x14ac:dyDescent="0.3">
      <c r="Q33" s="85" t="s">
        <v>24</v>
      </c>
      <c r="R33" s="86"/>
      <c r="S33" s="86" t="s">
        <v>25</v>
      </c>
      <c r="T33" s="86"/>
      <c r="U33" s="86" t="s">
        <v>26</v>
      </c>
      <c r="V33" s="87"/>
    </row>
    <row r="34" spans="1:22" ht="19.5" thickBot="1" x14ac:dyDescent="0.3">
      <c r="A34" t="str">
        <f>IF(B34="","",B34&amp;"|"&amp;D34)</f>
        <v>TOP CHALLENGE I.|SQUASHBEREK</v>
      </c>
      <c r="B34" s="53" t="s">
        <v>35</v>
      </c>
      <c r="C34" s="54" t="s">
        <v>22</v>
      </c>
      <c r="D34" s="55" t="s">
        <v>29</v>
      </c>
      <c r="E34" s="82" t="s">
        <v>17</v>
      </c>
      <c r="F34" s="83"/>
      <c r="G34" s="82" t="s">
        <v>18</v>
      </c>
      <c r="H34" s="83"/>
      <c r="I34" s="84" t="s">
        <v>19</v>
      </c>
      <c r="J34" s="84"/>
      <c r="K34" s="82" t="s">
        <v>20</v>
      </c>
      <c r="L34" s="83"/>
      <c r="M34" s="84" t="s">
        <v>21</v>
      </c>
      <c r="N34" s="83"/>
      <c r="O34" s="84" t="s">
        <v>23</v>
      </c>
      <c r="P34" s="84"/>
      <c r="Q34" s="57">
        <f>IF(O35&gt;P35,1,0)+IF(O36&gt;P36,1,0)+IF(O37&gt;P37,1,0)+IF(O38&gt;P38,1,0)</f>
        <v>0</v>
      </c>
      <c r="R34" s="58">
        <f>IF(O35&lt;P35,1,0)+IF(O36&lt;P36,1,0)+IF(O37&lt;P37,1,0)+IF(O38&lt;P38,1,0)</f>
        <v>4</v>
      </c>
      <c r="S34" s="58">
        <f>SUM(O35:O38)</f>
        <v>1</v>
      </c>
      <c r="T34" s="58">
        <f>SUM(P35:P38)</f>
        <v>12</v>
      </c>
      <c r="U34" s="58">
        <f>SUM(E35:E38,G35:G38,I35:I38,K35:K38,M35:M38)</f>
        <v>81</v>
      </c>
      <c r="V34" s="59">
        <f>SUM(F35:F38,H35:H38,J35:J38,L35:L38,N35:N38)</f>
        <v>147</v>
      </c>
    </row>
    <row r="35" spans="1:22" ht="18.75" x14ac:dyDescent="0.3">
      <c r="B35" s="61" t="s">
        <v>102</v>
      </c>
      <c r="C35" s="41">
        <v>4</v>
      </c>
      <c r="D35" s="56" t="s">
        <v>94</v>
      </c>
      <c r="E35" s="50">
        <v>2</v>
      </c>
      <c r="F35" s="45">
        <v>11</v>
      </c>
      <c r="G35" s="50">
        <v>12</v>
      </c>
      <c r="H35" s="45">
        <v>14</v>
      </c>
      <c r="I35" s="44">
        <v>5</v>
      </c>
      <c r="J35" s="45">
        <v>11</v>
      </c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104</v>
      </c>
      <c r="C36" s="42">
        <v>3</v>
      </c>
      <c r="D36" s="39" t="s">
        <v>96</v>
      </c>
      <c r="E36" s="51">
        <v>4</v>
      </c>
      <c r="F36" s="47">
        <v>11</v>
      </c>
      <c r="G36" s="51">
        <v>6</v>
      </c>
      <c r="H36" s="47">
        <v>11</v>
      </c>
      <c r="I36" s="46">
        <v>8</v>
      </c>
      <c r="J36" s="47">
        <v>11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3</v>
      </c>
    </row>
    <row r="37" spans="1:22" ht="18.75" x14ac:dyDescent="0.3">
      <c r="B37" s="62" t="s">
        <v>126</v>
      </c>
      <c r="C37" s="42">
        <v>1</v>
      </c>
      <c r="D37" s="39" t="s">
        <v>98</v>
      </c>
      <c r="E37" s="51">
        <v>4</v>
      </c>
      <c r="F37" s="47">
        <v>11</v>
      </c>
      <c r="G37" s="51">
        <v>14</v>
      </c>
      <c r="H37" s="47">
        <v>12</v>
      </c>
      <c r="I37" s="46">
        <v>9</v>
      </c>
      <c r="J37" s="47">
        <v>11</v>
      </c>
      <c r="K37" s="51">
        <v>7</v>
      </c>
      <c r="L37" s="47">
        <v>11</v>
      </c>
      <c r="M37" s="46"/>
      <c r="N37" s="47"/>
      <c r="O37" s="46">
        <f t="shared" si="8"/>
        <v>1</v>
      </c>
      <c r="P37" s="47">
        <f t="shared" si="9"/>
        <v>3</v>
      </c>
    </row>
    <row r="38" spans="1:22" ht="19.5" thickBot="1" x14ac:dyDescent="0.35">
      <c r="B38" s="63" t="s">
        <v>106</v>
      </c>
      <c r="C38" s="43">
        <v>2</v>
      </c>
      <c r="D38" s="40" t="s">
        <v>100</v>
      </c>
      <c r="E38" s="52">
        <v>2</v>
      </c>
      <c r="F38" s="49">
        <v>11</v>
      </c>
      <c r="G38" s="52">
        <v>3</v>
      </c>
      <c r="H38" s="49">
        <v>11</v>
      </c>
      <c r="I38" s="48">
        <v>5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.75" thickBot="1" x14ac:dyDescent="0.3"/>
    <row r="41" spans="1:22" ht="15.75" thickBot="1" x14ac:dyDescent="0.3">
      <c r="Q41" s="85" t="s">
        <v>24</v>
      </c>
      <c r="R41" s="86"/>
      <c r="S41" s="86" t="s">
        <v>25</v>
      </c>
      <c r="T41" s="86"/>
      <c r="U41" s="86" t="s">
        <v>26</v>
      </c>
      <c r="V41" s="87"/>
    </row>
    <row r="42" spans="1:22" ht="19.5" thickBot="1" x14ac:dyDescent="0.3">
      <c r="A42" t="str">
        <f>IF(B42="","",B42&amp;"|"&amp;D42)</f>
        <v>CITY SQUASH CLUB SE|GEKKO</v>
      </c>
      <c r="B42" s="53" t="s">
        <v>30</v>
      </c>
      <c r="C42" s="54" t="s">
        <v>22</v>
      </c>
      <c r="D42" s="55" t="s">
        <v>36</v>
      </c>
      <c r="E42" s="82" t="s">
        <v>17</v>
      </c>
      <c r="F42" s="83"/>
      <c r="G42" s="82" t="s">
        <v>18</v>
      </c>
      <c r="H42" s="83"/>
      <c r="I42" s="84" t="s">
        <v>19</v>
      </c>
      <c r="J42" s="84"/>
      <c r="K42" s="82" t="s">
        <v>20</v>
      </c>
      <c r="L42" s="83"/>
      <c r="M42" s="84" t="s">
        <v>21</v>
      </c>
      <c r="N42" s="83"/>
      <c r="O42" s="84" t="s">
        <v>23</v>
      </c>
      <c r="P42" s="84"/>
      <c r="Q42" s="57">
        <f>IF(O43&gt;P43,1,0)+IF(O44&gt;P44,1,0)+IF(O45&gt;P45,1,0)+IF(O46&gt;P46,1,0)</f>
        <v>4</v>
      </c>
      <c r="R42" s="58">
        <f>IF(O43&lt;P43,1,0)+IF(O44&lt;P44,1,0)+IF(O45&lt;P45,1,0)+IF(O46&lt;P46,1,0)</f>
        <v>0</v>
      </c>
      <c r="S42" s="58">
        <f>SUM(O43:O46)</f>
        <v>12</v>
      </c>
      <c r="T42" s="58">
        <f>SUM(P43:P46)</f>
        <v>0</v>
      </c>
      <c r="U42" s="58">
        <f>SUM(E43:E46,G43:G46,I43:I46,K43:K46,M43:M46)</f>
        <v>132</v>
      </c>
      <c r="V42" s="59">
        <f>SUM(F43:F46,H43:H46,J43:J46,L43:L46,N43:N46)</f>
        <v>49</v>
      </c>
    </row>
    <row r="43" spans="1:22" ht="18.75" x14ac:dyDescent="0.3">
      <c r="B43" s="61" t="s">
        <v>127</v>
      </c>
      <c r="C43" s="41">
        <v>4</v>
      </c>
      <c r="D43" s="56" t="s">
        <v>111</v>
      </c>
      <c r="E43" s="50">
        <v>11</v>
      </c>
      <c r="F43" s="45">
        <v>9</v>
      </c>
      <c r="G43" s="50">
        <v>11</v>
      </c>
      <c r="H43" s="45">
        <v>5</v>
      </c>
      <c r="I43" s="44">
        <v>11</v>
      </c>
      <c r="J43" s="45">
        <v>1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.75" x14ac:dyDescent="0.3">
      <c r="B44" s="62" t="s">
        <v>103</v>
      </c>
      <c r="C44" s="42">
        <v>3</v>
      </c>
      <c r="D44" s="39" t="s">
        <v>113</v>
      </c>
      <c r="E44" s="51">
        <v>11</v>
      </c>
      <c r="F44" s="47">
        <v>1</v>
      </c>
      <c r="G44" s="51">
        <v>11</v>
      </c>
      <c r="H44" s="47">
        <v>8</v>
      </c>
      <c r="I44" s="46">
        <v>11</v>
      </c>
      <c r="J44" s="47">
        <v>3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 t="s">
        <v>107</v>
      </c>
      <c r="C45" s="42">
        <v>1</v>
      </c>
      <c r="D45" s="39" t="s">
        <v>115</v>
      </c>
      <c r="E45" s="51">
        <v>11</v>
      </c>
      <c r="F45" s="47">
        <v>3</v>
      </c>
      <c r="G45" s="51">
        <v>11</v>
      </c>
      <c r="H45" s="47">
        <v>3</v>
      </c>
      <c r="I45" s="46">
        <v>11</v>
      </c>
      <c r="J45" s="47">
        <v>5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105</v>
      </c>
      <c r="C46" s="43">
        <v>2</v>
      </c>
      <c r="D46" s="40" t="s">
        <v>117</v>
      </c>
      <c r="E46" s="52">
        <v>11</v>
      </c>
      <c r="F46" s="49">
        <v>3</v>
      </c>
      <c r="G46" s="52">
        <v>11</v>
      </c>
      <c r="H46" s="49">
        <v>4</v>
      </c>
      <c r="I46" s="48">
        <v>11</v>
      </c>
      <c r="J46" s="49">
        <v>4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85" t="s">
        <v>24</v>
      </c>
      <c r="R49" s="86"/>
      <c r="S49" s="86" t="s">
        <v>25</v>
      </c>
      <c r="T49" s="86"/>
      <c r="U49" s="86" t="s">
        <v>26</v>
      </c>
      <c r="V49" s="87"/>
    </row>
    <row r="50" spans="1:22" ht="19.5" thickBot="1" x14ac:dyDescent="0.3">
      <c r="A50" t="str">
        <f>IF(B50="","",B50&amp;"|"&amp;D50)</f>
        <v>BORDROGI BAU-SZEGED SQUASH SE I.|ANICO KÉSZHÁZAK EGRI SQUASH SE</v>
      </c>
      <c r="B50" s="53" t="s">
        <v>31</v>
      </c>
      <c r="C50" s="54" t="s">
        <v>22</v>
      </c>
      <c r="D50" s="55" t="s">
        <v>33</v>
      </c>
      <c r="E50" s="82" t="s">
        <v>17</v>
      </c>
      <c r="F50" s="83"/>
      <c r="G50" s="82" t="s">
        <v>18</v>
      </c>
      <c r="H50" s="83"/>
      <c r="I50" s="84" t="s">
        <v>19</v>
      </c>
      <c r="J50" s="84"/>
      <c r="K50" s="82" t="s">
        <v>20</v>
      </c>
      <c r="L50" s="83"/>
      <c r="M50" s="84" t="s">
        <v>21</v>
      </c>
      <c r="N50" s="83"/>
      <c r="O50" s="84" t="s">
        <v>23</v>
      </c>
      <c r="P50" s="84"/>
      <c r="Q50" s="57">
        <f>IF(O51&gt;P51,1,0)+IF(O52&gt;P52,1,0)+IF(O53&gt;P53,1,0)+IF(O54&gt;P54,1,0)</f>
        <v>3</v>
      </c>
      <c r="R50" s="58">
        <f>IF(O51&lt;P51,1,0)+IF(O52&lt;P52,1,0)+IF(O53&lt;P53,1,0)+IF(O54&lt;P54,1,0)</f>
        <v>1</v>
      </c>
      <c r="S50" s="58">
        <f>SUM(O51:O54)</f>
        <v>9</v>
      </c>
      <c r="T50" s="58">
        <f>SUM(P51:P54)</f>
        <v>4</v>
      </c>
      <c r="U50" s="58">
        <f>SUM(E51:E54,G51:G54,I51:I54,K51:K54,M51:M54)</f>
        <v>135</v>
      </c>
      <c r="V50" s="59">
        <f>SUM(F51:F54,H51:H54,J51:J54,L51:L54,N51:N54)</f>
        <v>81</v>
      </c>
    </row>
    <row r="51" spans="1:22" ht="18.75" x14ac:dyDescent="0.3">
      <c r="B51" s="61" t="s">
        <v>110</v>
      </c>
      <c r="C51" s="41">
        <v>4</v>
      </c>
      <c r="D51" s="56" t="s">
        <v>118</v>
      </c>
      <c r="E51" s="50">
        <v>11</v>
      </c>
      <c r="F51" s="45">
        <v>9</v>
      </c>
      <c r="G51" s="50">
        <v>9</v>
      </c>
      <c r="H51" s="45">
        <v>11</v>
      </c>
      <c r="I51" s="44">
        <v>11</v>
      </c>
      <c r="J51" s="45">
        <v>1</v>
      </c>
      <c r="K51" s="50">
        <v>11</v>
      </c>
      <c r="L51" s="45">
        <v>3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.75" x14ac:dyDescent="0.3">
      <c r="B52" s="62" t="s">
        <v>112</v>
      </c>
      <c r="C52" s="42">
        <v>3</v>
      </c>
      <c r="D52" s="39" t="s">
        <v>120</v>
      </c>
      <c r="E52" s="51">
        <v>11</v>
      </c>
      <c r="F52" s="47">
        <v>4</v>
      </c>
      <c r="G52" s="51">
        <v>11</v>
      </c>
      <c r="H52" s="47">
        <v>7</v>
      </c>
      <c r="I52" s="46">
        <v>11</v>
      </c>
      <c r="J52" s="47">
        <v>7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 t="s">
        <v>114</v>
      </c>
      <c r="C53" s="42">
        <v>1</v>
      </c>
      <c r="D53" s="39" t="s">
        <v>122</v>
      </c>
      <c r="E53" s="51">
        <v>8</v>
      </c>
      <c r="F53" s="47">
        <v>11</v>
      </c>
      <c r="G53" s="51">
        <v>10</v>
      </c>
      <c r="H53" s="47">
        <v>12</v>
      </c>
      <c r="I53" s="46">
        <v>9</v>
      </c>
      <c r="J53" s="47">
        <v>11</v>
      </c>
      <c r="K53" s="51"/>
      <c r="L53" s="47"/>
      <c r="M53" s="46"/>
      <c r="N53" s="47"/>
      <c r="O53" s="46">
        <f t="shared" si="12"/>
        <v>0</v>
      </c>
      <c r="P53" s="47">
        <f t="shared" si="13"/>
        <v>3</v>
      </c>
    </row>
    <row r="54" spans="1:22" ht="19.5" thickBot="1" x14ac:dyDescent="0.35">
      <c r="B54" s="63" t="s">
        <v>116</v>
      </c>
      <c r="C54" s="43">
        <v>2</v>
      </c>
      <c r="D54" s="40" t="s">
        <v>124</v>
      </c>
      <c r="E54" s="52">
        <v>11</v>
      </c>
      <c r="F54" s="49">
        <v>2</v>
      </c>
      <c r="G54" s="52">
        <v>11</v>
      </c>
      <c r="H54" s="49">
        <v>1</v>
      </c>
      <c r="I54" s="48">
        <v>11</v>
      </c>
      <c r="J54" s="49">
        <v>2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85" t="s">
        <v>24</v>
      </c>
      <c r="R57" s="86"/>
      <c r="S57" s="86" t="s">
        <v>25</v>
      </c>
      <c r="T57" s="86"/>
      <c r="U57" s="86" t="s">
        <v>26</v>
      </c>
      <c r="V57" s="87"/>
    </row>
    <row r="58" spans="1:22" ht="19.5" thickBot="1" x14ac:dyDescent="0.3">
      <c r="A58" t="str">
        <f>IF(B58="","",B58&amp;"|"&amp;D58)</f>
        <v>BUDAÖRSI LABDA EGYLET I.|CSÉ-STAR TEAM I.</v>
      </c>
      <c r="B58" s="53" t="s">
        <v>34</v>
      </c>
      <c r="C58" s="54" t="s">
        <v>22</v>
      </c>
      <c r="D58" s="55" t="s">
        <v>32</v>
      </c>
      <c r="E58" s="82" t="s">
        <v>17</v>
      </c>
      <c r="F58" s="83"/>
      <c r="G58" s="82" t="s">
        <v>18</v>
      </c>
      <c r="H58" s="83"/>
      <c r="I58" s="84" t="s">
        <v>19</v>
      </c>
      <c r="J58" s="84"/>
      <c r="K58" s="82" t="s">
        <v>20</v>
      </c>
      <c r="L58" s="83"/>
      <c r="M58" s="84" t="s">
        <v>21</v>
      </c>
      <c r="N58" s="83"/>
      <c r="O58" s="84" t="s">
        <v>23</v>
      </c>
      <c r="P58" s="84"/>
      <c r="Q58" s="57">
        <f>IF(O59&gt;P59,1,0)+IF(O60&gt;P60,1,0)+IF(O61&gt;P61,1,0)+IF(O62&gt;P62,1,0)</f>
        <v>4</v>
      </c>
      <c r="R58" s="58">
        <f>IF(O59&lt;P59,1,0)+IF(O60&lt;P60,1,0)+IF(O61&lt;P61,1,0)+IF(O62&lt;P62,1,0)</f>
        <v>0</v>
      </c>
      <c r="S58" s="58">
        <f>SUM(O59:O62)</f>
        <v>11</v>
      </c>
      <c r="T58" s="58">
        <f>SUM(P59:P62)</f>
        <v>1</v>
      </c>
      <c r="U58" s="58">
        <f>SUM(E59:E62,G59:G62,I59:I62,K59:K62,M59:M62)</f>
        <v>128</v>
      </c>
      <c r="V58" s="59">
        <f>SUM(F59:F62,H59:H62,J59:J62,L59:L62,N59:N62)</f>
        <v>62</v>
      </c>
    </row>
    <row r="59" spans="1:22" ht="18.75" x14ac:dyDescent="0.3">
      <c r="B59" s="61" t="s">
        <v>95</v>
      </c>
      <c r="C59" s="41">
        <v>4</v>
      </c>
      <c r="D59" s="56" t="s">
        <v>119</v>
      </c>
      <c r="E59" s="50">
        <v>11</v>
      </c>
      <c r="F59" s="45">
        <v>0</v>
      </c>
      <c r="G59" s="50">
        <v>11</v>
      </c>
      <c r="H59" s="45">
        <v>0</v>
      </c>
      <c r="I59" s="44">
        <v>11</v>
      </c>
      <c r="J59" s="45">
        <v>0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.75" x14ac:dyDescent="0.3">
      <c r="B60" s="62" t="s">
        <v>97</v>
      </c>
      <c r="C60" s="42">
        <v>3</v>
      </c>
      <c r="D60" s="39" t="s">
        <v>121</v>
      </c>
      <c r="E60" s="51">
        <v>11</v>
      </c>
      <c r="F60" s="47">
        <v>5</v>
      </c>
      <c r="G60" s="51">
        <v>11</v>
      </c>
      <c r="H60" s="47">
        <v>7</v>
      </c>
      <c r="I60" s="46">
        <v>11</v>
      </c>
      <c r="J60" s="47">
        <v>5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 t="s">
        <v>99</v>
      </c>
      <c r="C61" s="42">
        <v>1</v>
      </c>
      <c r="D61" s="39" t="s">
        <v>123</v>
      </c>
      <c r="E61" s="51">
        <v>7</v>
      </c>
      <c r="F61" s="47">
        <v>11</v>
      </c>
      <c r="G61" s="51">
        <v>11</v>
      </c>
      <c r="H61" s="47">
        <v>8</v>
      </c>
      <c r="I61" s="46">
        <v>11</v>
      </c>
      <c r="J61" s="47">
        <v>7</v>
      </c>
      <c r="K61" s="51">
        <v>11</v>
      </c>
      <c r="L61" s="47">
        <v>8</v>
      </c>
      <c r="M61" s="46"/>
      <c r="N61" s="47"/>
      <c r="O61" s="46">
        <f t="shared" si="14"/>
        <v>3</v>
      </c>
      <c r="P61" s="47">
        <f t="shared" si="15"/>
        <v>1</v>
      </c>
    </row>
    <row r="62" spans="1:22" ht="19.5" thickBot="1" x14ac:dyDescent="0.35">
      <c r="B62" s="63" t="s">
        <v>101</v>
      </c>
      <c r="C62" s="43">
        <v>2</v>
      </c>
      <c r="D62" s="40" t="s">
        <v>125</v>
      </c>
      <c r="E62" s="52">
        <v>11</v>
      </c>
      <c r="F62" s="49">
        <v>3</v>
      </c>
      <c r="G62" s="52">
        <v>11</v>
      </c>
      <c r="H62" s="49">
        <v>8</v>
      </c>
      <c r="I62" s="48"/>
      <c r="J62" s="49"/>
      <c r="K62" s="52"/>
      <c r="L62" s="49"/>
      <c r="M62" s="48"/>
      <c r="N62" s="49"/>
      <c r="O62" s="48">
        <f t="shared" si="14"/>
        <v>2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85" t="s">
        <v>24</v>
      </c>
      <c r="R65" s="86"/>
      <c r="S65" s="86" t="s">
        <v>25</v>
      </c>
      <c r="T65" s="86"/>
      <c r="U65" s="86" t="s">
        <v>26</v>
      </c>
      <c r="V65" s="87"/>
    </row>
    <row r="66" spans="1:22" ht="19.5" thickBot="1" x14ac:dyDescent="0.3">
      <c r="A66" t="str">
        <f>IF(B66="","",B66&amp;"|"&amp;D66)</f>
        <v>SQUASHBEREK|GEKKO</v>
      </c>
      <c r="B66" s="53" t="s">
        <v>29</v>
      </c>
      <c r="C66" s="54" t="s">
        <v>22</v>
      </c>
      <c r="D66" s="55" t="s">
        <v>36</v>
      </c>
      <c r="E66" s="82" t="s">
        <v>17</v>
      </c>
      <c r="F66" s="83"/>
      <c r="G66" s="82" t="s">
        <v>18</v>
      </c>
      <c r="H66" s="83"/>
      <c r="I66" s="84" t="s">
        <v>19</v>
      </c>
      <c r="J66" s="84"/>
      <c r="K66" s="82" t="s">
        <v>20</v>
      </c>
      <c r="L66" s="83"/>
      <c r="M66" s="84" t="s">
        <v>21</v>
      </c>
      <c r="N66" s="83"/>
      <c r="O66" s="84" t="s">
        <v>23</v>
      </c>
      <c r="P66" s="84"/>
      <c r="Q66" s="57">
        <f>IF(O67&gt;P67,1,0)+IF(O68&gt;P68,1,0)+IF(O69&gt;P69,1,0)+IF(O70&gt;P70,1,0)</f>
        <v>4</v>
      </c>
      <c r="R66" s="58">
        <f>IF(O67&lt;P67,1,0)+IF(O68&lt;P68,1,0)+IF(O69&lt;P69,1,0)+IF(O70&lt;P70,1,0)</f>
        <v>0</v>
      </c>
      <c r="S66" s="58">
        <f>SUM(O67:O70)</f>
        <v>12</v>
      </c>
      <c r="T66" s="58">
        <f>SUM(P67:P70)</f>
        <v>0</v>
      </c>
      <c r="U66" s="58">
        <f>SUM(E67:E70,G67:G70,I67:I70,K67:K70,M67:M70)</f>
        <v>135</v>
      </c>
      <c r="V66" s="59">
        <f>SUM(F67:F70,H67:H70,J67:J70,L67:L70,N67:N70)</f>
        <v>72</v>
      </c>
    </row>
    <row r="67" spans="1:22" ht="18.75" x14ac:dyDescent="0.3">
      <c r="B67" s="61" t="s">
        <v>94</v>
      </c>
      <c r="C67" s="41">
        <v>4</v>
      </c>
      <c r="D67" s="56" t="s">
        <v>111</v>
      </c>
      <c r="E67" s="50">
        <v>11</v>
      </c>
      <c r="F67" s="45">
        <v>6</v>
      </c>
      <c r="G67" s="50">
        <v>11</v>
      </c>
      <c r="H67" s="45">
        <v>4</v>
      </c>
      <c r="I67" s="44">
        <v>11</v>
      </c>
      <c r="J67" s="45">
        <v>9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.75" x14ac:dyDescent="0.3">
      <c r="B68" s="62" t="s">
        <v>96</v>
      </c>
      <c r="C68" s="42">
        <v>3</v>
      </c>
      <c r="D68" s="39" t="s">
        <v>113</v>
      </c>
      <c r="E68" s="51">
        <v>11</v>
      </c>
      <c r="F68" s="47">
        <v>8</v>
      </c>
      <c r="G68" s="51">
        <v>11</v>
      </c>
      <c r="H68" s="47">
        <v>3</v>
      </c>
      <c r="I68" s="46">
        <v>13</v>
      </c>
      <c r="J68" s="47">
        <v>11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 t="s">
        <v>98</v>
      </c>
      <c r="C69" s="42">
        <v>1</v>
      </c>
      <c r="D69" s="39" t="s">
        <v>115</v>
      </c>
      <c r="E69" s="51">
        <v>11</v>
      </c>
      <c r="F69" s="47">
        <v>0</v>
      </c>
      <c r="G69" s="51">
        <v>11</v>
      </c>
      <c r="H69" s="47">
        <v>9</v>
      </c>
      <c r="I69" s="46">
        <v>12</v>
      </c>
      <c r="J69" s="47">
        <v>10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9.5" thickBot="1" x14ac:dyDescent="0.35">
      <c r="B70" s="63" t="s">
        <v>100</v>
      </c>
      <c r="C70" s="43">
        <v>2</v>
      </c>
      <c r="D70" s="40" t="s">
        <v>117</v>
      </c>
      <c r="E70" s="52">
        <v>11</v>
      </c>
      <c r="F70" s="49">
        <v>6</v>
      </c>
      <c r="G70" s="52">
        <v>11</v>
      </c>
      <c r="H70" s="49">
        <v>2</v>
      </c>
      <c r="I70" s="48">
        <v>11</v>
      </c>
      <c r="J70" s="49">
        <v>4</v>
      </c>
      <c r="K70" s="52"/>
      <c r="L70" s="49"/>
      <c r="M70" s="48"/>
      <c r="N70" s="49"/>
      <c r="O70" s="48">
        <f t="shared" si="16"/>
        <v>3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85" t="s">
        <v>24</v>
      </c>
      <c r="R73" s="86"/>
      <c r="S73" s="86" t="s">
        <v>25</v>
      </c>
      <c r="T73" s="86"/>
      <c r="U73" s="86" t="s">
        <v>26</v>
      </c>
      <c r="V73" s="87"/>
    </row>
    <row r="74" spans="1:22" ht="19.5" thickBot="1" x14ac:dyDescent="0.3">
      <c r="A74" t="str">
        <f>IF(B74="","",B74&amp;"|"&amp;D74)</f>
        <v>CITY SQUASH CLUB SE|ANICO KÉSZHÁZAK EGRI SQUASH SE</v>
      </c>
      <c r="B74" s="53" t="s">
        <v>30</v>
      </c>
      <c r="C74" s="54" t="s">
        <v>22</v>
      </c>
      <c r="D74" s="55" t="s">
        <v>33</v>
      </c>
      <c r="E74" s="82" t="s">
        <v>17</v>
      </c>
      <c r="F74" s="83"/>
      <c r="G74" s="82" t="s">
        <v>18</v>
      </c>
      <c r="H74" s="83"/>
      <c r="I74" s="84" t="s">
        <v>19</v>
      </c>
      <c r="J74" s="84"/>
      <c r="K74" s="82" t="s">
        <v>20</v>
      </c>
      <c r="L74" s="83"/>
      <c r="M74" s="84" t="s">
        <v>21</v>
      </c>
      <c r="N74" s="83"/>
      <c r="O74" s="84" t="s">
        <v>23</v>
      </c>
      <c r="P74" s="84"/>
      <c r="Q74" s="57">
        <f>IF(O75&gt;P75,1,0)+IF(O76&gt;P76,1,0)+IF(O77&gt;P77,1,0)+IF(O78&gt;P78,1,0)</f>
        <v>3</v>
      </c>
      <c r="R74" s="58">
        <f>IF(O75&lt;P75,1,0)+IF(O76&lt;P76,1,0)+IF(O77&lt;P77,1,0)+IF(O78&lt;P78,1,0)</f>
        <v>1</v>
      </c>
      <c r="S74" s="58">
        <f>SUM(O75:O78)</f>
        <v>11</v>
      </c>
      <c r="T74" s="58">
        <f>SUM(P75:P78)</f>
        <v>4</v>
      </c>
      <c r="U74" s="58">
        <f>SUM(E75:E78,G75:G78,I75:I78,K75:K78,M75:M78)</f>
        <v>146</v>
      </c>
      <c r="V74" s="59">
        <f>SUM(F75:F78,H75:H78,J75:J78,L75:L78,N75:N78)</f>
        <v>96</v>
      </c>
    </row>
    <row r="75" spans="1:22" ht="18.75" x14ac:dyDescent="0.3">
      <c r="B75" s="61" t="s">
        <v>127</v>
      </c>
      <c r="C75" s="41">
        <v>4</v>
      </c>
      <c r="D75" s="56" t="s">
        <v>118</v>
      </c>
      <c r="E75" s="50">
        <v>11</v>
      </c>
      <c r="F75" s="45">
        <v>3</v>
      </c>
      <c r="G75" s="50">
        <v>11</v>
      </c>
      <c r="H75" s="45">
        <v>3</v>
      </c>
      <c r="I75" s="44">
        <v>8</v>
      </c>
      <c r="J75" s="45">
        <v>11</v>
      </c>
      <c r="K75" s="50">
        <v>11</v>
      </c>
      <c r="L75" s="45">
        <v>9</v>
      </c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.75" x14ac:dyDescent="0.3">
      <c r="B76" s="62" t="s">
        <v>103</v>
      </c>
      <c r="C76" s="42">
        <v>3</v>
      </c>
      <c r="D76" s="39" t="s">
        <v>120</v>
      </c>
      <c r="E76" s="51">
        <v>11</v>
      </c>
      <c r="F76" s="47">
        <v>3</v>
      </c>
      <c r="G76" s="51">
        <v>11</v>
      </c>
      <c r="H76" s="47">
        <v>5</v>
      </c>
      <c r="I76" s="46">
        <v>11</v>
      </c>
      <c r="J76" s="47">
        <v>7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 t="s">
        <v>109</v>
      </c>
      <c r="C77" s="42">
        <v>1</v>
      </c>
      <c r="D77" s="39" t="s">
        <v>122</v>
      </c>
      <c r="E77" s="51">
        <v>11</v>
      </c>
      <c r="F77" s="47">
        <v>5</v>
      </c>
      <c r="G77" s="51">
        <v>11</v>
      </c>
      <c r="H77" s="47">
        <v>9</v>
      </c>
      <c r="I77" s="46">
        <v>7</v>
      </c>
      <c r="J77" s="47">
        <v>11</v>
      </c>
      <c r="K77" s="51">
        <v>9</v>
      </c>
      <c r="L77" s="47">
        <v>11</v>
      </c>
      <c r="M77" s="46">
        <v>1</v>
      </c>
      <c r="N77" s="47">
        <v>11</v>
      </c>
      <c r="O77" s="46">
        <f t="shared" si="18"/>
        <v>2</v>
      </c>
      <c r="P77" s="47">
        <f t="shared" si="19"/>
        <v>3</v>
      </c>
    </row>
    <row r="78" spans="1:22" ht="19.5" thickBot="1" x14ac:dyDescent="0.35">
      <c r="B78" s="63" t="s">
        <v>105</v>
      </c>
      <c r="C78" s="43">
        <v>2</v>
      </c>
      <c r="D78" s="40" t="s">
        <v>124</v>
      </c>
      <c r="E78" s="52">
        <v>11</v>
      </c>
      <c r="F78" s="49">
        <v>2</v>
      </c>
      <c r="G78" s="52">
        <v>11</v>
      </c>
      <c r="H78" s="49">
        <v>1</v>
      </c>
      <c r="I78" s="48">
        <v>11</v>
      </c>
      <c r="J78" s="49">
        <v>5</v>
      </c>
      <c r="K78" s="52"/>
      <c r="L78" s="49"/>
      <c r="M78" s="48"/>
      <c r="N78" s="49"/>
      <c r="O78" s="48">
        <f t="shared" si="18"/>
        <v>3</v>
      </c>
      <c r="P78" s="49">
        <f t="shared" si="19"/>
        <v>0</v>
      </c>
    </row>
    <row r="80" spans="1:22" ht="15.75" thickBot="1" x14ac:dyDescent="0.3"/>
    <row r="81" spans="1:22" ht="15.75" thickBot="1" x14ac:dyDescent="0.3">
      <c r="Q81" s="85" t="s">
        <v>24</v>
      </c>
      <c r="R81" s="86"/>
      <c r="S81" s="86" t="s">
        <v>25</v>
      </c>
      <c r="T81" s="86"/>
      <c r="U81" s="86" t="s">
        <v>26</v>
      </c>
      <c r="V81" s="87"/>
    </row>
    <row r="82" spans="1:22" ht="19.5" thickBot="1" x14ac:dyDescent="0.3">
      <c r="A82" t="str">
        <f>IF(B82="","",B82&amp;"|"&amp;D82)</f>
        <v>BORDROGI BAU-SZEGED SQUASH SE I.|BUDAÖRSI LABDA EGYLET I.</v>
      </c>
      <c r="B82" s="53" t="s">
        <v>31</v>
      </c>
      <c r="C82" s="54" t="s">
        <v>22</v>
      </c>
      <c r="D82" s="55" t="s">
        <v>34</v>
      </c>
      <c r="E82" s="82" t="s">
        <v>17</v>
      </c>
      <c r="F82" s="83"/>
      <c r="G82" s="82" t="s">
        <v>18</v>
      </c>
      <c r="H82" s="83"/>
      <c r="I82" s="84" t="s">
        <v>19</v>
      </c>
      <c r="J82" s="84"/>
      <c r="K82" s="82" t="s">
        <v>20</v>
      </c>
      <c r="L82" s="83"/>
      <c r="M82" s="84" t="s">
        <v>21</v>
      </c>
      <c r="N82" s="83"/>
      <c r="O82" s="84" t="s">
        <v>23</v>
      </c>
      <c r="P82" s="84"/>
      <c r="Q82" s="57">
        <f>IF(O83&gt;P83,1,0)+IF(O84&gt;P84,1,0)+IF(O85&gt;P85,1,0)+IF(O86&gt;P86,1,0)</f>
        <v>1</v>
      </c>
      <c r="R82" s="58">
        <f>IF(O83&lt;P83,1,0)+IF(O84&lt;P84,1,0)+IF(O85&lt;P85,1,0)+IF(O86&lt;P86,1,0)</f>
        <v>3</v>
      </c>
      <c r="S82" s="58">
        <f>SUM(O83:O86)</f>
        <v>7</v>
      </c>
      <c r="T82" s="58">
        <f>SUM(P83:P86)</f>
        <v>9</v>
      </c>
      <c r="U82" s="58">
        <f>SUM(E83:E86,G83:G86,I83:I86,K83:K86,M83:M86)</f>
        <v>134</v>
      </c>
      <c r="V82" s="59">
        <f>SUM(F83:F86,H83:H86,J83:J86,L83:L86,N83:N86)</f>
        <v>151</v>
      </c>
    </row>
    <row r="83" spans="1:22" ht="18.75" x14ac:dyDescent="0.3">
      <c r="B83" s="61" t="s">
        <v>110</v>
      </c>
      <c r="C83" s="41">
        <v>4</v>
      </c>
      <c r="D83" s="56" t="s">
        <v>95</v>
      </c>
      <c r="E83" s="50">
        <v>11</v>
      </c>
      <c r="F83" s="45">
        <v>8</v>
      </c>
      <c r="G83" s="50">
        <v>11</v>
      </c>
      <c r="H83" s="45">
        <v>9</v>
      </c>
      <c r="I83" s="44">
        <v>11</v>
      </c>
      <c r="J83" s="45">
        <v>4</v>
      </c>
      <c r="K83" s="50"/>
      <c r="L83" s="45"/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0</v>
      </c>
    </row>
    <row r="84" spans="1:22" ht="18.75" x14ac:dyDescent="0.3">
      <c r="B84" s="62" t="s">
        <v>112</v>
      </c>
      <c r="C84" s="42">
        <v>3</v>
      </c>
      <c r="D84" s="39" t="s">
        <v>128</v>
      </c>
      <c r="E84" s="51">
        <v>11</v>
      </c>
      <c r="F84" s="47">
        <v>8</v>
      </c>
      <c r="G84" s="51">
        <v>9</v>
      </c>
      <c r="H84" s="47">
        <v>11</v>
      </c>
      <c r="I84" s="46">
        <v>11</v>
      </c>
      <c r="J84" s="47">
        <v>5</v>
      </c>
      <c r="K84" s="51">
        <v>5</v>
      </c>
      <c r="L84" s="47">
        <v>11</v>
      </c>
      <c r="M84" s="46">
        <v>6</v>
      </c>
      <c r="N84" s="47">
        <v>11</v>
      </c>
      <c r="O84" s="46">
        <f t="shared" ref="O84:O86" si="20">IF(E84&gt;F84,1,0)+IF(G84&gt;H84,1,0)+IF(I84&gt;J84,1,0)+IF(K84&gt;L84,1,0)+IF(M84&gt;N84,1,0)</f>
        <v>2</v>
      </c>
      <c r="P84" s="47">
        <f t="shared" ref="P84:P86" si="21">IF(E84&lt;F84,1,0)+IF(G84&lt;H84,1,0)+IF(I84&lt;J84,1,0)+IF(K84&lt;L84,1,0)+IF(M84&lt;N84,1,0)</f>
        <v>3</v>
      </c>
    </row>
    <row r="85" spans="1:22" ht="18.75" x14ac:dyDescent="0.3">
      <c r="B85" s="62" t="s">
        <v>114</v>
      </c>
      <c r="C85" s="42">
        <v>1</v>
      </c>
      <c r="D85" s="39" t="s">
        <v>101</v>
      </c>
      <c r="E85" s="51">
        <v>8</v>
      </c>
      <c r="F85" s="47">
        <v>11</v>
      </c>
      <c r="G85" s="51">
        <v>11</v>
      </c>
      <c r="H85" s="47">
        <v>9</v>
      </c>
      <c r="I85" s="46">
        <v>11</v>
      </c>
      <c r="J85" s="47">
        <v>9</v>
      </c>
      <c r="K85" s="51">
        <v>7</v>
      </c>
      <c r="L85" s="47">
        <v>11</v>
      </c>
      <c r="M85" s="46">
        <v>9</v>
      </c>
      <c r="N85" s="47">
        <v>11</v>
      </c>
      <c r="O85" s="46">
        <f t="shared" si="20"/>
        <v>2</v>
      </c>
      <c r="P85" s="47">
        <f t="shared" si="21"/>
        <v>3</v>
      </c>
    </row>
    <row r="86" spans="1:22" ht="19.5" thickBot="1" x14ac:dyDescent="0.35">
      <c r="B86" s="63" t="s">
        <v>116</v>
      </c>
      <c r="C86" s="43">
        <v>2</v>
      </c>
      <c r="D86" s="40" t="s">
        <v>97</v>
      </c>
      <c r="E86" s="52">
        <v>2</v>
      </c>
      <c r="F86" s="49">
        <v>11</v>
      </c>
      <c r="G86" s="52">
        <v>3</v>
      </c>
      <c r="H86" s="49">
        <v>11</v>
      </c>
      <c r="I86" s="48">
        <v>8</v>
      </c>
      <c r="J86" s="49">
        <v>11</v>
      </c>
      <c r="K86" s="52"/>
      <c r="L86" s="49"/>
      <c r="M86" s="48"/>
      <c r="N86" s="49"/>
      <c r="O86" s="48">
        <f t="shared" si="20"/>
        <v>0</v>
      </c>
      <c r="P86" s="49">
        <f t="shared" si="21"/>
        <v>3</v>
      </c>
    </row>
    <row r="88" spans="1:22" ht="15.75" thickBot="1" x14ac:dyDescent="0.3"/>
    <row r="89" spans="1:22" ht="15.75" thickBot="1" x14ac:dyDescent="0.3">
      <c r="Q89" s="85" t="s">
        <v>24</v>
      </c>
      <c r="R89" s="86"/>
      <c r="S89" s="86" t="s">
        <v>25</v>
      </c>
      <c r="T89" s="86"/>
      <c r="U89" s="86" t="s">
        <v>26</v>
      </c>
      <c r="V89" s="87"/>
    </row>
    <row r="90" spans="1:22" ht="19.5" thickBot="1" x14ac:dyDescent="0.3">
      <c r="A90" t="str">
        <f>IF(B90="","",B90&amp;"|"&amp;D90)</f>
        <v>CSÉ-STAR TEAM I.|TOP CHALLENGE I.</v>
      </c>
      <c r="B90" s="53" t="s">
        <v>32</v>
      </c>
      <c r="C90" s="54" t="s">
        <v>22</v>
      </c>
      <c r="D90" s="55" t="s">
        <v>35</v>
      </c>
      <c r="E90" s="82" t="s">
        <v>17</v>
      </c>
      <c r="F90" s="83"/>
      <c r="G90" s="82" t="s">
        <v>18</v>
      </c>
      <c r="H90" s="83"/>
      <c r="I90" s="84" t="s">
        <v>19</v>
      </c>
      <c r="J90" s="84"/>
      <c r="K90" s="82" t="s">
        <v>20</v>
      </c>
      <c r="L90" s="83"/>
      <c r="M90" s="84" t="s">
        <v>21</v>
      </c>
      <c r="N90" s="83"/>
      <c r="O90" s="84" t="s">
        <v>23</v>
      </c>
      <c r="P90" s="84"/>
      <c r="Q90" s="57">
        <f>IF(O91&gt;P91,1,0)+IF(O92&gt;P92,1,0)+IF(O93&gt;P93,1,0)+IF(O94&gt;P94,1,0)</f>
        <v>3</v>
      </c>
      <c r="R90" s="58">
        <f>IF(O91&lt;P91,1,0)+IF(O92&lt;P92,1,0)+IF(O93&lt;P93,1,0)+IF(O94&lt;P94,1,0)</f>
        <v>1</v>
      </c>
      <c r="S90" s="58">
        <f>SUM(O91:O94)</f>
        <v>9</v>
      </c>
      <c r="T90" s="58">
        <f>SUM(P91:P94)</f>
        <v>7</v>
      </c>
      <c r="U90" s="58">
        <f>SUM(E91:E94,G91:G94,I91:I94,K91:K94,M91:M94)</f>
        <v>126</v>
      </c>
      <c r="V90" s="59">
        <f>SUM(F91:F94,H91:H94,J91:J94,L91:L94,N91:N94)</f>
        <v>142</v>
      </c>
    </row>
    <row r="91" spans="1:22" ht="18.75" x14ac:dyDescent="0.3">
      <c r="B91" s="61" t="s">
        <v>119</v>
      </c>
      <c r="C91" s="41">
        <v>4</v>
      </c>
      <c r="D91" s="56"/>
      <c r="E91" s="50">
        <v>0</v>
      </c>
      <c r="F91" s="45">
        <v>11</v>
      </c>
      <c r="G91" s="50">
        <v>0</v>
      </c>
      <c r="H91" s="45">
        <v>11</v>
      </c>
      <c r="I91" s="44">
        <v>0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.75" x14ac:dyDescent="0.3">
      <c r="B92" s="62" t="s">
        <v>121</v>
      </c>
      <c r="C92" s="42">
        <v>3</v>
      </c>
      <c r="D92" s="39" t="s">
        <v>108</v>
      </c>
      <c r="E92" s="51">
        <v>11</v>
      </c>
      <c r="F92" s="47">
        <v>6</v>
      </c>
      <c r="G92" s="51">
        <v>11</v>
      </c>
      <c r="H92" s="47">
        <v>9</v>
      </c>
      <c r="I92" s="46">
        <v>8</v>
      </c>
      <c r="J92" s="47">
        <v>11</v>
      </c>
      <c r="K92" s="51">
        <v>11</v>
      </c>
      <c r="L92" s="47">
        <v>7</v>
      </c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1</v>
      </c>
    </row>
    <row r="93" spans="1:22" ht="18.75" x14ac:dyDescent="0.3">
      <c r="B93" s="62" t="s">
        <v>123</v>
      </c>
      <c r="C93" s="42">
        <v>1</v>
      </c>
      <c r="D93" s="39" t="s">
        <v>126</v>
      </c>
      <c r="E93" s="51">
        <v>2</v>
      </c>
      <c r="F93" s="47">
        <v>11</v>
      </c>
      <c r="G93" s="51">
        <v>11</v>
      </c>
      <c r="H93" s="47">
        <v>7</v>
      </c>
      <c r="I93" s="46">
        <v>11</v>
      </c>
      <c r="J93" s="47">
        <v>9</v>
      </c>
      <c r="K93" s="51">
        <v>9</v>
      </c>
      <c r="L93" s="47">
        <v>11</v>
      </c>
      <c r="M93" s="46">
        <v>11</v>
      </c>
      <c r="N93" s="47">
        <v>7</v>
      </c>
      <c r="O93" s="46">
        <f t="shared" si="22"/>
        <v>3</v>
      </c>
      <c r="P93" s="47">
        <f t="shared" si="23"/>
        <v>2</v>
      </c>
    </row>
    <row r="94" spans="1:22" ht="19.5" thickBot="1" x14ac:dyDescent="0.35">
      <c r="B94" s="63" t="s">
        <v>125</v>
      </c>
      <c r="C94" s="43">
        <v>2</v>
      </c>
      <c r="D94" s="40" t="s">
        <v>129</v>
      </c>
      <c r="E94" s="52">
        <v>11</v>
      </c>
      <c r="F94" s="49">
        <v>7</v>
      </c>
      <c r="G94" s="52">
        <v>11</v>
      </c>
      <c r="H94" s="49">
        <v>8</v>
      </c>
      <c r="I94" s="48">
        <v>8</v>
      </c>
      <c r="J94" s="49">
        <v>11</v>
      </c>
      <c r="K94" s="52">
        <v>11</v>
      </c>
      <c r="L94" s="49">
        <v>5</v>
      </c>
      <c r="M94" s="48"/>
      <c r="N94" s="49"/>
      <c r="O94" s="48">
        <f t="shared" si="22"/>
        <v>3</v>
      </c>
      <c r="P94" s="49">
        <f t="shared" si="23"/>
        <v>1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94"/>
  <sheetViews>
    <sheetView topLeftCell="B1" workbookViewId="0">
      <selection activeCell="L101" sqref="L101"/>
    </sheetView>
  </sheetViews>
  <sheetFormatPr defaultRowHeight="15" x14ac:dyDescent="0.25"/>
  <cols>
    <col min="1" max="1" width="16.85546875" hidden="1" customWidth="1"/>
    <col min="2" max="2" width="34.140625" style="60" customWidth="1"/>
    <col min="3" max="3" width="9.140625" customWidth="1"/>
    <col min="4" max="4" width="36.2851562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85" t="s">
        <v>24</v>
      </c>
      <c r="R1" s="86"/>
      <c r="S1" s="86" t="s">
        <v>25</v>
      </c>
      <c r="T1" s="86"/>
      <c r="U1" s="86" t="s">
        <v>26</v>
      </c>
      <c r="V1" s="87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82" t="s">
        <v>17</v>
      </c>
      <c r="F2" s="83"/>
      <c r="G2" s="82" t="s">
        <v>18</v>
      </c>
      <c r="H2" s="83"/>
      <c r="I2" s="84" t="s">
        <v>19</v>
      </c>
      <c r="J2" s="84"/>
      <c r="K2" s="82" t="s">
        <v>20</v>
      </c>
      <c r="L2" s="83"/>
      <c r="M2" s="84" t="s">
        <v>21</v>
      </c>
      <c r="N2" s="83"/>
      <c r="O2" s="84" t="s">
        <v>23</v>
      </c>
      <c r="P2" s="84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.75" x14ac:dyDescent="0.3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.75" x14ac:dyDescent="0.3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.75" x14ac:dyDescent="0.3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9.5" thickBot="1" x14ac:dyDescent="0.35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85" t="s">
        <v>24</v>
      </c>
      <c r="R9" s="86"/>
      <c r="S9" s="86" t="s">
        <v>25</v>
      </c>
      <c r="T9" s="86"/>
      <c r="U9" s="86" t="s">
        <v>26</v>
      </c>
      <c r="V9" s="87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82" t="s">
        <v>17</v>
      </c>
      <c r="F10" s="83"/>
      <c r="G10" s="82" t="s">
        <v>18</v>
      </c>
      <c r="H10" s="83"/>
      <c r="I10" s="84" t="s">
        <v>19</v>
      </c>
      <c r="J10" s="84"/>
      <c r="K10" s="82" t="s">
        <v>20</v>
      </c>
      <c r="L10" s="83"/>
      <c r="M10" s="84" t="s">
        <v>21</v>
      </c>
      <c r="N10" s="83"/>
      <c r="O10" s="84" t="s">
        <v>23</v>
      </c>
      <c r="P10" s="84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.75" x14ac:dyDescent="0.3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9.5" thickBot="1" x14ac:dyDescent="0.35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85" t="s">
        <v>24</v>
      </c>
      <c r="R17" s="86"/>
      <c r="S17" s="86" t="s">
        <v>25</v>
      </c>
      <c r="T17" s="86"/>
      <c r="U17" s="86" t="s">
        <v>26</v>
      </c>
      <c r="V17" s="87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82" t="s">
        <v>17</v>
      </c>
      <c r="F18" s="83"/>
      <c r="G18" s="82" t="s">
        <v>18</v>
      </c>
      <c r="H18" s="83"/>
      <c r="I18" s="84" t="s">
        <v>19</v>
      </c>
      <c r="J18" s="84"/>
      <c r="K18" s="82" t="s">
        <v>20</v>
      </c>
      <c r="L18" s="83"/>
      <c r="M18" s="84" t="s">
        <v>21</v>
      </c>
      <c r="N18" s="83"/>
      <c r="O18" s="84" t="s">
        <v>23</v>
      </c>
      <c r="P18" s="84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.75" x14ac:dyDescent="0.3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9.5" thickBot="1" x14ac:dyDescent="0.35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85" t="s">
        <v>24</v>
      </c>
      <c r="R25" s="86"/>
      <c r="S25" s="86" t="s">
        <v>25</v>
      </c>
      <c r="T25" s="86"/>
      <c r="U25" s="86" t="s">
        <v>26</v>
      </c>
      <c r="V25" s="87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82" t="s">
        <v>17</v>
      </c>
      <c r="F26" s="83"/>
      <c r="G26" s="82" t="s">
        <v>18</v>
      </c>
      <c r="H26" s="83"/>
      <c r="I26" s="84" t="s">
        <v>19</v>
      </c>
      <c r="J26" s="84"/>
      <c r="K26" s="82" t="s">
        <v>20</v>
      </c>
      <c r="L26" s="83"/>
      <c r="M26" s="84" t="s">
        <v>21</v>
      </c>
      <c r="N26" s="83"/>
      <c r="O26" s="84" t="s">
        <v>23</v>
      </c>
      <c r="P26" s="84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.75" x14ac:dyDescent="0.3">
      <c r="B27" s="61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9.5" thickBot="1" x14ac:dyDescent="0.35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85" t="s">
        <v>24</v>
      </c>
      <c r="R33" s="86"/>
      <c r="S33" s="86" t="s">
        <v>25</v>
      </c>
      <c r="T33" s="86"/>
      <c r="U33" s="86" t="s">
        <v>26</v>
      </c>
      <c r="V33" s="87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82" t="s">
        <v>17</v>
      </c>
      <c r="F34" s="83"/>
      <c r="G34" s="82" t="s">
        <v>18</v>
      </c>
      <c r="H34" s="83"/>
      <c r="I34" s="84" t="s">
        <v>19</v>
      </c>
      <c r="J34" s="84"/>
      <c r="K34" s="82" t="s">
        <v>20</v>
      </c>
      <c r="L34" s="83"/>
      <c r="M34" s="84" t="s">
        <v>21</v>
      </c>
      <c r="N34" s="83"/>
      <c r="O34" s="84" t="s">
        <v>23</v>
      </c>
      <c r="P34" s="84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.75" x14ac:dyDescent="0.3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85" t="s">
        <v>24</v>
      </c>
      <c r="R41" s="86"/>
      <c r="S41" s="86" t="s">
        <v>25</v>
      </c>
      <c r="T41" s="86"/>
      <c r="U41" s="86" t="s">
        <v>26</v>
      </c>
      <c r="V41" s="87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82" t="s">
        <v>17</v>
      </c>
      <c r="F42" s="83"/>
      <c r="G42" s="82" t="s">
        <v>18</v>
      </c>
      <c r="H42" s="83"/>
      <c r="I42" s="84" t="s">
        <v>19</v>
      </c>
      <c r="J42" s="84"/>
      <c r="K42" s="82" t="s">
        <v>20</v>
      </c>
      <c r="L42" s="83"/>
      <c r="M42" s="84" t="s">
        <v>21</v>
      </c>
      <c r="N42" s="83"/>
      <c r="O42" s="84" t="s">
        <v>23</v>
      </c>
      <c r="P42" s="84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.75" x14ac:dyDescent="0.3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85" t="s">
        <v>24</v>
      </c>
      <c r="R49" s="86"/>
      <c r="S49" s="86" t="s">
        <v>25</v>
      </c>
      <c r="T49" s="86"/>
      <c r="U49" s="86" t="s">
        <v>26</v>
      </c>
      <c r="V49" s="87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82" t="s">
        <v>17</v>
      </c>
      <c r="F50" s="83"/>
      <c r="G50" s="82" t="s">
        <v>18</v>
      </c>
      <c r="H50" s="83"/>
      <c r="I50" s="84" t="s">
        <v>19</v>
      </c>
      <c r="J50" s="84"/>
      <c r="K50" s="82" t="s">
        <v>20</v>
      </c>
      <c r="L50" s="83"/>
      <c r="M50" s="84" t="s">
        <v>21</v>
      </c>
      <c r="N50" s="83"/>
      <c r="O50" s="84" t="s">
        <v>23</v>
      </c>
      <c r="P50" s="84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.75" x14ac:dyDescent="0.3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85" t="s">
        <v>24</v>
      </c>
      <c r="R57" s="86"/>
      <c r="S57" s="86" t="s">
        <v>25</v>
      </c>
      <c r="T57" s="86"/>
      <c r="U57" s="86" t="s">
        <v>26</v>
      </c>
      <c r="V57" s="87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82" t="s">
        <v>17</v>
      </c>
      <c r="F58" s="83"/>
      <c r="G58" s="82" t="s">
        <v>18</v>
      </c>
      <c r="H58" s="83"/>
      <c r="I58" s="84" t="s">
        <v>19</v>
      </c>
      <c r="J58" s="84"/>
      <c r="K58" s="82" t="s">
        <v>20</v>
      </c>
      <c r="L58" s="83"/>
      <c r="M58" s="84" t="s">
        <v>21</v>
      </c>
      <c r="N58" s="83"/>
      <c r="O58" s="84" t="s">
        <v>23</v>
      </c>
      <c r="P58" s="84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.75" x14ac:dyDescent="0.3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85" t="s">
        <v>24</v>
      </c>
      <c r="R65" s="86"/>
      <c r="S65" s="86" t="s">
        <v>25</v>
      </c>
      <c r="T65" s="86"/>
      <c r="U65" s="86" t="s">
        <v>26</v>
      </c>
      <c r="V65" s="87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82" t="s">
        <v>17</v>
      </c>
      <c r="F66" s="83"/>
      <c r="G66" s="82" t="s">
        <v>18</v>
      </c>
      <c r="H66" s="83"/>
      <c r="I66" s="84" t="s">
        <v>19</v>
      </c>
      <c r="J66" s="84"/>
      <c r="K66" s="82" t="s">
        <v>20</v>
      </c>
      <c r="L66" s="83"/>
      <c r="M66" s="84" t="s">
        <v>21</v>
      </c>
      <c r="N66" s="83"/>
      <c r="O66" s="84" t="s">
        <v>23</v>
      </c>
      <c r="P66" s="84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85" t="s">
        <v>24</v>
      </c>
      <c r="R73" s="86"/>
      <c r="S73" s="86" t="s">
        <v>25</v>
      </c>
      <c r="T73" s="86"/>
      <c r="U73" s="86" t="s">
        <v>26</v>
      </c>
      <c r="V73" s="87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82" t="s">
        <v>17</v>
      </c>
      <c r="F74" s="83"/>
      <c r="G74" s="82" t="s">
        <v>18</v>
      </c>
      <c r="H74" s="83"/>
      <c r="I74" s="84" t="s">
        <v>19</v>
      </c>
      <c r="J74" s="84"/>
      <c r="K74" s="82" t="s">
        <v>20</v>
      </c>
      <c r="L74" s="83"/>
      <c r="M74" s="84" t="s">
        <v>21</v>
      </c>
      <c r="N74" s="83"/>
      <c r="O74" s="84" t="s">
        <v>23</v>
      </c>
      <c r="P74" s="84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1" spans="1:22" ht="15.75" thickBot="1" x14ac:dyDescent="0.3"/>
    <row r="82" spans="1:22" ht="19.5" thickBot="1" x14ac:dyDescent="0.3">
      <c r="A82" t="str">
        <f>IF(B82="","",B82&amp;"|"&amp;D82)</f>
        <v/>
      </c>
      <c r="B82" s="53"/>
      <c r="C82" s="54" t="s">
        <v>22</v>
      </c>
      <c r="D82" s="55"/>
      <c r="E82" s="82" t="s">
        <v>17</v>
      </c>
      <c r="F82" s="83"/>
      <c r="G82" s="82" t="s">
        <v>18</v>
      </c>
      <c r="H82" s="83"/>
      <c r="I82" s="84" t="s">
        <v>19</v>
      </c>
      <c r="J82" s="84"/>
      <c r="K82" s="82" t="s">
        <v>20</v>
      </c>
      <c r="L82" s="83"/>
      <c r="M82" s="84" t="s">
        <v>21</v>
      </c>
      <c r="N82" s="83"/>
      <c r="O82" s="84" t="s">
        <v>23</v>
      </c>
      <c r="P82" s="84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85" t="s">
        <v>24</v>
      </c>
      <c r="R89" s="86"/>
      <c r="S89" s="86" t="s">
        <v>25</v>
      </c>
      <c r="T89" s="86"/>
      <c r="U89" s="86" t="s">
        <v>26</v>
      </c>
      <c r="V89" s="87"/>
    </row>
    <row r="90" spans="1:22" ht="19.5" thickBot="1" x14ac:dyDescent="0.3">
      <c r="A90" t="str">
        <f>IF(B90="","",B90&amp;"|"&amp;D90)</f>
        <v/>
      </c>
      <c r="B90" s="53"/>
      <c r="C90" s="54" t="s">
        <v>22</v>
      </c>
      <c r="D90" s="55"/>
      <c r="E90" s="82" t="s">
        <v>17</v>
      </c>
      <c r="F90" s="83"/>
      <c r="G90" s="82" t="s">
        <v>18</v>
      </c>
      <c r="H90" s="83"/>
      <c r="I90" s="84" t="s">
        <v>19</v>
      </c>
      <c r="J90" s="84"/>
      <c r="K90" s="82" t="s">
        <v>20</v>
      </c>
      <c r="L90" s="83"/>
      <c r="M90" s="84" t="s">
        <v>21</v>
      </c>
      <c r="N90" s="83"/>
      <c r="O90" s="84" t="s">
        <v>23</v>
      </c>
      <c r="P90" s="84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5"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workbookViewId="0">
      <selection activeCell="E3" sqref="E3:N6"/>
    </sheetView>
  </sheetViews>
  <sheetFormatPr defaultRowHeight="15" x14ac:dyDescent="0.25"/>
  <cols>
    <col min="1" max="1" width="16.85546875" hidden="1" customWidth="1"/>
    <col min="2" max="2" width="35.42578125" style="60" customWidth="1"/>
    <col min="3" max="3" width="9.140625" customWidth="1"/>
    <col min="4" max="4" width="30.8554687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85" t="s">
        <v>24</v>
      </c>
      <c r="R1" s="86"/>
      <c r="S1" s="86" t="s">
        <v>25</v>
      </c>
      <c r="T1" s="86"/>
      <c r="U1" s="86" t="s">
        <v>26</v>
      </c>
      <c r="V1" s="87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82" t="s">
        <v>17</v>
      </c>
      <c r="F2" s="83"/>
      <c r="G2" s="82" t="s">
        <v>18</v>
      </c>
      <c r="H2" s="83"/>
      <c r="I2" s="84" t="s">
        <v>19</v>
      </c>
      <c r="J2" s="84"/>
      <c r="K2" s="82" t="s">
        <v>20</v>
      </c>
      <c r="L2" s="83"/>
      <c r="M2" s="84" t="s">
        <v>21</v>
      </c>
      <c r="N2" s="83"/>
      <c r="O2" s="84" t="s">
        <v>23</v>
      </c>
      <c r="P2" s="84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.75" x14ac:dyDescent="0.3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.75" x14ac:dyDescent="0.3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.75" x14ac:dyDescent="0.3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35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85" t="s">
        <v>24</v>
      </c>
      <c r="R9" s="86"/>
      <c r="S9" s="86" t="s">
        <v>25</v>
      </c>
      <c r="T9" s="86"/>
      <c r="U9" s="86" t="s">
        <v>26</v>
      </c>
      <c r="V9" s="87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82" t="s">
        <v>17</v>
      </c>
      <c r="F10" s="83"/>
      <c r="G10" s="82" t="s">
        <v>18</v>
      </c>
      <c r="H10" s="83"/>
      <c r="I10" s="84" t="s">
        <v>19</v>
      </c>
      <c r="J10" s="84"/>
      <c r="K10" s="82" t="s">
        <v>20</v>
      </c>
      <c r="L10" s="83"/>
      <c r="M10" s="84" t="s">
        <v>21</v>
      </c>
      <c r="N10" s="83"/>
      <c r="O10" s="84" t="s">
        <v>23</v>
      </c>
      <c r="P10" s="84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.75" x14ac:dyDescent="0.3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9.5" thickBot="1" x14ac:dyDescent="0.35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85" t="s">
        <v>24</v>
      </c>
      <c r="R17" s="86"/>
      <c r="S17" s="86" t="s">
        <v>25</v>
      </c>
      <c r="T17" s="86"/>
      <c r="U17" s="86" t="s">
        <v>26</v>
      </c>
      <c r="V17" s="87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82" t="s">
        <v>17</v>
      </c>
      <c r="F18" s="83"/>
      <c r="G18" s="82" t="s">
        <v>18</v>
      </c>
      <c r="H18" s="83"/>
      <c r="I18" s="84" t="s">
        <v>19</v>
      </c>
      <c r="J18" s="84"/>
      <c r="K18" s="82" t="s">
        <v>20</v>
      </c>
      <c r="L18" s="83"/>
      <c r="M18" s="84" t="s">
        <v>21</v>
      </c>
      <c r="N18" s="83"/>
      <c r="O18" s="84" t="s">
        <v>23</v>
      </c>
      <c r="P18" s="84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.75" x14ac:dyDescent="0.3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9.5" thickBot="1" x14ac:dyDescent="0.35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85" t="s">
        <v>24</v>
      </c>
      <c r="R25" s="86"/>
      <c r="S25" s="86" t="s">
        <v>25</v>
      </c>
      <c r="T25" s="86"/>
      <c r="U25" s="86" t="s">
        <v>26</v>
      </c>
      <c r="V25" s="87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82" t="s">
        <v>17</v>
      </c>
      <c r="F26" s="83"/>
      <c r="G26" s="82" t="s">
        <v>18</v>
      </c>
      <c r="H26" s="83"/>
      <c r="I26" s="84" t="s">
        <v>19</v>
      </c>
      <c r="J26" s="84"/>
      <c r="K26" s="82" t="s">
        <v>20</v>
      </c>
      <c r="L26" s="83"/>
      <c r="M26" s="84" t="s">
        <v>21</v>
      </c>
      <c r="N26" s="83"/>
      <c r="O26" s="84" t="s">
        <v>23</v>
      </c>
      <c r="P26" s="84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.75" x14ac:dyDescent="0.3">
      <c r="B27" s="62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9.5" thickBot="1" x14ac:dyDescent="0.35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85" t="s">
        <v>24</v>
      </c>
      <c r="R33" s="86"/>
      <c r="S33" s="86" t="s">
        <v>25</v>
      </c>
      <c r="T33" s="86"/>
      <c r="U33" s="86" t="s">
        <v>26</v>
      </c>
      <c r="V33" s="87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82" t="s">
        <v>17</v>
      </c>
      <c r="F34" s="83"/>
      <c r="G34" s="82" t="s">
        <v>18</v>
      </c>
      <c r="H34" s="83"/>
      <c r="I34" s="84" t="s">
        <v>19</v>
      </c>
      <c r="J34" s="84"/>
      <c r="K34" s="82" t="s">
        <v>20</v>
      </c>
      <c r="L34" s="83"/>
      <c r="M34" s="84" t="s">
        <v>21</v>
      </c>
      <c r="N34" s="83"/>
      <c r="O34" s="84" t="s">
        <v>23</v>
      </c>
      <c r="P34" s="84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.75" x14ac:dyDescent="0.3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85" t="s">
        <v>24</v>
      </c>
      <c r="R41" s="86"/>
      <c r="S41" s="86" t="s">
        <v>25</v>
      </c>
      <c r="T41" s="86"/>
      <c r="U41" s="86" t="s">
        <v>26</v>
      </c>
      <c r="V41" s="87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82" t="s">
        <v>17</v>
      </c>
      <c r="F42" s="83"/>
      <c r="G42" s="82" t="s">
        <v>18</v>
      </c>
      <c r="H42" s="83"/>
      <c r="I42" s="84" t="s">
        <v>19</v>
      </c>
      <c r="J42" s="84"/>
      <c r="K42" s="82" t="s">
        <v>20</v>
      </c>
      <c r="L42" s="83"/>
      <c r="M42" s="84" t="s">
        <v>21</v>
      </c>
      <c r="N42" s="83"/>
      <c r="O42" s="84" t="s">
        <v>23</v>
      </c>
      <c r="P42" s="84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.75" x14ac:dyDescent="0.3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85" t="s">
        <v>24</v>
      </c>
      <c r="R49" s="86"/>
      <c r="S49" s="86" t="s">
        <v>25</v>
      </c>
      <c r="T49" s="86"/>
      <c r="U49" s="86" t="s">
        <v>26</v>
      </c>
      <c r="V49" s="87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82" t="s">
        <v>17</v>
      </c>
      <c r="F50" s="83"/>
      <c r="G50" s="82" t="s">
        <v>18</v>
      </c>
      <c r="H50" s="83"/>
      <c r="I50" s="84" t="s">
        <v>19</v>
      </c>
      <c r="J50" s="84"/>
      <c r="K50" s="82" t="s">
        <v>20</v>
      </c>
      <c r="L50" s="83"/>
      <c r="M50" s="84" t="s">
        <v>21</v>
      </c>
      <c r="N50" s="83"/>
      <c r="O50" s="84" t="s">
        <v>23</v>
      </c>
      <c r="P50" s="84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.75" x14ac:dyDescent="0.3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85" t="s">
        <v>24</v>
      </c>
      <c r="R57" s="86"/>
      <c r="S57" s="86" t="s">
        <v>25</v>
      </c>
      <c r="T57" s="86"/>
      <c r="U57" s="86" t="s">
        <v>26</v>
      </c>
      <c r="V57" s="87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82" t="s">
        <v>17</v>
      </c>
      <c r="F58" s="83"/>
      <c r="G58" s="82" t="s">
        <v>18</v>
      </c>
      <c r="H58" s="83"/>
      <c r="I58" s="84" t="s">
        <v>19</v>
      </c>
      <c r="J58" s="84"/>
      <c r="K58" s="82" t="s">
        <v>20</v>
      </c>
      <c r="L58" s="83"/>
      <c r="M58" s="84" t="s">
        <v>21</v>
      </c>
      <c r="N58" s="83"/>
      <c r="O58" s="84" t="s">
        <v>23</v>
      </c>
      <c r="P58" s="84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.75" x14ac:dyDescent="0.3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85" t="s">
        <v>24</v>
      </c>
      <c r="R65" s="86"/>
      <c r="S65" s="86" t="s">
        <v>25</v>
      </c>
      <c r="T65" s="86"/>
      <c r="U65" s="86" t="s">
        <v>26</v>
      </c>
      <c r="V65" s="87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82" t="s">
        <v>17</v>
      </c>
      <c r="F66" s="83"/>
      <c r="G66" s="82" t="s">
        <v>18</v>
      </c>
      <c r="H66" s="83"/>
      <c r="I66" s="84" t="s">
        <v>19</v>
      </c>
      <c r="J66" s="84"/>
      <c r="K66" s="82" t="s">
        <v>20</v>
      </c>
      <c r="L66" s="83"/>
      <c r="M66" s="84" t="s">
        <v>21</v>
      </c>
      <c r="N66" s="83"/>
      <c r="O66" s="84" t="s">
        <v>23</v>
      </c>
      <c r="P66" s="84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85" t="s">
        <v>24</v>
      </c>
      <c r="R73" s="86"/>
      <c r="S73" s="86" t="s">
        <v>25</v>
      </c>
      <c r="T73" s="86"/>
      <c r="U73" s="86" t="s">
        <v>26</v>
      </c>
      <c r="V73" s="87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82" t="s">
        <v>17</v>
      </c>
      <c r="F74" s="83"/>
      <c r="G74" s="82" t="s">
        <v>18</v>
      </c>
      <c r="H74" s="83"/>
      <c r="I74" s="84" t="s">
        <v>19</v>
      </c>
      <c r="J74" s="84"/>
      <c r="K74" s="82" t="s">
        <v>20</v>
      </c>
      <c r="L74" s="83"/>
      <c r="M74" s="84" t="s">
        <v>21</v>
      </c>
      <c r="N74" s="83"/>
      <c r="O74" s="84" t="s">
        <v>23</v>
      </c>
      <c r="P74" s="84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0" spans="1:22" ht="15.75" thickBot="1" x14ac:dyDescent="0.3"/>
    <row r="81" spans="1:22" ht="15.75" thickBot="1" x14ac:dyDescent="0.3">
      <c r="Q81" s="85" t="s">
        <v>24</v>
      </c>
      <c r="R81" s="86"/>
      <c r="S81" s="86" t="s">
        <v>25</v>
      </c>
      <c r="T81" s="86"/>
      <c r="U81" s="86" t="s">
        <v>26</v>
      </c>
      <c r="V81" s="87"/>
    </row>
    <row r="82" spans="1:22" ht="19.5" thickBot="1" x14ac:dyDescent="0.3">
      <c r="A82" t="str">
        <f>IF(B82="","",B82&amp;"|"&amp;D82)</f>
        <v/>
      </c>
      <c r="B82" s="53"/>
      <c r="C82" s="54" t="s">
        <v>22</v>
      </c>
      <c r="D82" s="55"/>
      <c r="E82" s="82" t="s">
        <v>17</v>
      </c>
      <c r="F82" s="83"/>
      <c r="G82" s="82" t="s">
        <v>18</v>
      </c>
      <c r="H82" s="83"/>
      <c r="I82" s="84" t="s">
        <v>19</v>
      </c>
      <c r="J82" s="84"/>
      <c r="K82" s="82" t="s">
        <v>20</v>
      </c>
      <c r="L82" s="83"/>
      <c r="M82" s="84" t="s">
        <v>21</v>
      </c>
      <c r="N82" s="83"/>
      <c r="O82" s="84" t="s">
        <v>23</v>
      </c>
      <c r="P82" s="84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85" t="s">
        <v>24</v>
      </c>
      <c r="R89" s="86"/>
      <c r="S89" s="86" t="s">
        <v>25</v>
      </c>
      <c r="T89" s="86"/>
      <c r="U89" s="86" t="s">
        <v>26</v>
      </c>
      <c r="V89" s="87"/>
    </row>
    <row r="90" spans="1:22" ht="19.5" thickBot="1" x14ac:dyDescent="0.3">
      <c r="A90" t="str">
        <f>IF(B90="","",B90&amp;"|"&amp;D90)</f>
        <v/>
      </c>
      <c r="B90" s="53"/>
      <c r="C90" s="54" t="s">
        <v>22</v>
      </c>
      <c r="D90" s="55"/>
      <c r="E90" s="82" t="s">
        <v>17</v>
      </c>
      <c r="F90" s="83"/>
      <c r="G90" s="82" t="s">
        <v>18</v>
      </c>
      <c r="H90" s="83"/>
      <c r="I90" s="84" t="s">
        <v>19</v>
      </c>
      <c r="J90" s="84"/>
      <c r="K90" s="82" t="s">
        <v>20</v>
      </c>
      <c r="L90" s="83"/>
      <c r="M90" s="84" t="s">
        <v>21</v>
      </c>
      <c r="N90" s="83"/>
      <c r="O90" s="84" t="s">
        <v>23</v>
      </c>
      <c r="P90" s="84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m J l 5 W S h p 7 V m m A A A A 9 g A A A B I A H A B D b 2 5 m a W c v U G F j a 2 F n Z S 5 4 b W w g o h g A K K A U A A A A A A A A A A A A A A A A A A A A A A A A A A A A h Y + 9 D o I w G E V f h X S n P 2 C i k o 8 y u D h I Y m I 0 r k 2 t 0 A j F Q G t 5 N w c f y V c Q o 6 i b 4 z 3 3 D P f e r z f I + r o K L q r t d G N S x D B F g T K y O W h T p M j Z Y z h D G Y e 1 k C d R q G C Q T Z f 0 3 S F F p b X n h B D v P f Y x b t q C R J Q y s s 9 X G 1 m q W q C P r P / L o T a d F U Y q x G H 3 G s M j z O I J Z t M 5 p k B G C L k 2 X y E a 9 j 7 b H w g L V 1 n X K l 6 6 c L k F M k Y g 7 w / 8 A V B L A w Q U A A I A C A C Y m X l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J l 5 W e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J i Z e V k o a e 1 Z p g A A A P Y A A A A S A A A A A A A A A A A A A A A A A A A A A A B D b 2 5 m a W c v U G F j a 2 F n Z S 5 4 b W x Q S w E C L Q A U A A I A C A C Y m X l Z D 8 r p q 6 Q A A A D p A A A A E w A A A A A A A A A A A A A A A A D y A A A A W 0 N v b n R l b n R f V H l w Z X N d L n h t b F B L A Q I t A B Q A A g A I A J i Z e V n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X A A A A A A A A A h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h Z T k 5 N D Y 0 Y i 0 2 Z W Q 2 L T Q z N T c t O G R m Z C 1 m N 2 M x Y T l m Y m U x N m I i I C 8 + P E V u d H J 5 I F R 5 c G U 9 I k Z p b G x F c n J v c k N v Z G U i I F Z h b H V l P S J z V W 5 r b m 9 3 b i I g L z 4 8 R W 5 0 c n k g V H l w Z T 0 i R m l s b E x h c 3 R V c G R h d G V k I i B W Y W x 1 Z T 0 i Z D I w M j Q t M T E t M j V U M T g 6 M T I 6 N D k u M z A x N D g 5 M 1 o i I C 8 + P E V u d H J 5 I F R 5 c G U 9 I k Z p b G x D b 2 x 1 b W 5 U e X B l c y I g V m F s d W U 9 I n N B Q U F H Q m c 9 P S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G a W x s Q 2 9 1 b n Q i I F Z h b H V l P S J s M j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B d X R v U m V t b 3 Z l Z E N v b H V t b n M x L n t J b m R l e F 9 J L D B 9 J n F 1 b 3 Q 7 L C Z x d W 9 0 O 1 N l Y 3 R p b 2 4 x L 0 3 D q X J r x Z F 6 w 6 l z Z W s v Q X V 0 b 1 J l b W 9 2 Z W R D b 2 x 1 b W 5 z M S 5 7 S W 5 k Z X h f S U k s M X 0 m c X V v d D s s J n F 1 b 3 Q 7 U 2 V j d G l v b j E v T c O p c m v F k X r D q X N l a y 9 B d X R v U m V t b 3 Z l Z E N v b H V t b n M x L n t D c 2 F w Y X R v a y w y f S Z x d W 9 0 O y w m c X V v d D t T Z W N 0 a W 9 u M S 9 N w 6 l y a 8 W R e s O p c 2 V r L 0 F 1 d G 9 S Z W 1 v d m V k Q 2 9 s d W 1 u c z E u e 0 N z Y X B h d G 9 r L j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V 2 d V Z 3 K u K S r L 8 B f Q p M 5 t r A A A A A A I A A A A A A B B m A A A A A Q A A I A A A A I Z R o j j g j b 7 N 8 Z 7 0 E y F k P + a n M 2 Q j I j P + 4 C m t 5 E T M P g O B A A A A A A 6 A A A A A A g A A I A A A A C j q H z L q B y l a S Y F c a q N 1 Z b A u 0 f Y q 2 O U Z d 0 4 P Y U X 8 N / Q 6 U A A A A L + g 3 u 7 H 5 9 x C L X H e L o Y C n F J j 5 e n V f v o H G 5 9 1 Q H z t y u F / 8 p X U 0 C e 7 z N 9 f E Z + n D 3 0 Z v l R C u O w 3 Z V c H s 2 L u R a O T u c x B + h e u b 1 u J c N T F H J g c 3 f O H Q A A A A A J I 3 b D j N 7 K B y z i x P C m 0 z E z P 6 K V / 9 L Y + l + e Q G + T + H F 8 G k G B M / b o l G e F 5 J M B n / X F M o c z C 9 h B 2 q 1 w 2 w O a e X R X m f R k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2024-11-25T18:52:18Z</dcterms:modified>
</cp:coreProperties>
</file>